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:\Publish_XLSX\"/>
    </mc:Choice>
  </mc:AlternateContent>
  <xr:revisionPtr revIDLastSave="0" documentId="13_ncr:9_{4C6239FE-9BBA-423B-9D5E-AC6C594AF416}" xr6:coauthVersionLast="47" xr6:coauthVersionMax="47" xr10:uidLastSave="{00000000-0000-0000-0000-000000000000}"/>
  <bookViews>
    <workbookView xWindow="4395" yWindow="1350" windowWidth="20160" windowHeight="13170" xr2:uid="{803D792C-5C5A-42BE-81BE-B150A2B02D11}"/>
  </bookViews>
  <sheets>
    <sheet name="TMY3a_EPW_Processing_locations" sheetId="1" r:id="rId1"/>
  </sheets>
  <calcPr calcId="0"/>
</workbook>
</file>

<file path=xl/calcChain.xml><?xml version="1.0" encoding="utf-8"?>
<calcChain xmlns="http://schemas.openxmlformats.org/spreadsheetml/2006/main">
  <c r="J2" i="1" l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579" i="1"/>
  <c r="J580" i="1"/>
  <c r="J581" i="1"/>
  <c r="J582" i="1"/>
  <c r="J583" i="1"/>
  <c r="J584" i="1"/>
  <c r="J585" i="1"/>
  <c r="J586" i="1"/>
  <c r="J587" i="1"/>
  <c r="J588" i="1"/>
  <c r="J589" i="1"/>
  <c r="J590" i="1"/>
  <c r="J591" i="1"/>
  <c r="J592" i="1"/>
  <c r="J593" i="1"/>
  <c r="J594" i="1"/>
  <c r="J595" i="1"/>
  <c r="J596" i="1"/>
  <c r="J597" i="1"/>
  <c r="J598" i="1"/>
  <c r="J599" i="1"/>
  <c r="J600" i="1"/>
  <c r="J601" i="1"/>
  <c r="J602" i="1"/>
  <c r="J603" i="1"/>
  <c r="J604" i="1"/>
  <c r="J605" i="1"/>
  <c r="J606" i="1"/>
  <c r="J607" i="1"/>
  <c r="J608" i="1"/>
  <c r="J609" i="1"/>
  <c r="J610" i="1"/>
  <c r="J611" i="1"/>
  <c r="J612" i="1"/>
  <c r="J613" i="1"/>
  <c r="J614" i="1"/>
  <c r="J615" i="1"/>
  <c r="J616" i="1"/>
  <c r="J617" i="1"/>
  <c r="J618" i="1"/>
  <c r="J619" i="1"/>
  <c r="J620" i="1"/>
  <c r="J621" i="1"/>
  <c r="J622" i="1"/>
  <c r="J623" i="1"/>
  <c r="J624" i="1"/>
  <c r="J625" i="1"/>
  <c r="J626" i="1"/>
  <c r="J627" i="1"/>
  <c r="J628" i="1"/>
  <c r="J629" i="1"/>
  <c r="J630" i="1"/>
  <c r="J631" i="1"/>
  <c r="J632" i="1"/>
  <c r="J633" i="1"/>
  <c r="J634" i="1"/>
  <c r="J635" i="1"/>
  <c r="J636" i="1"/>
  <c r="J637" i="1"/>
  <c r="J638" i="1"/>
  <c r="J639" i="1"/>
  <c r="J640" i="1"/>
  <c r="J641" i="1"/>
  <c r="J642" i="1"/>
  <c r="J643" i="1"/>
  <c r="J644" i="1"/>
  <c r="J645" i="1"/>
  <c r="J646" i="1"/>
  <c r="J647" i="1"/>
  <c r="J648" i="1"/>
  <c r="J649" i="1"/>
  <c r="J650" i="1"/>
  <c r="J651" i="1"/>
  <c r="J652" i="1"/>
  <c r="J653" i="1"/>
  <c r="J654" i="1"/>
  <c r="J655" i="1"/>
  <c r="J656" i="1"/>
  <c r="J657" i="1"/>
  <c r="J658" i="1"/>
  <c r="J659" i="1"/>
  <c r="J660" i="1"/>
  <c r="J661" i="1"/>
  <c r="J662" i="1"/>
  <c r="J663" i="1"/>
  <c r="J664" i="1"/>
  <c r="J665" i="1"/>
  <c r="J666" i="1"/>
  <c r="J667" i="1"/>
  <c r="J668" i="1"/>
  <c r="J669" i="1"/>
  <c r="J670" i="1"/>
  <c r="J671" i="1"/>
  <c r="J672" i="1"/>
  <c r="J673" i="1"/>
  <c r="J674" i="1"/>
  <c r="J675" i="1"/>
  <c r="J676" i="1"/>
  <c r="J677" i="1"/>
  <c r="J678" i="1"/>
  <c r="J679" i="1"/>
  <c r="J680" i="1"/>
  <c r="J681" i="1"/>
  <c r="J682" i="1"/>
  <c r="J683" i="1"/>
  <c r="J684" i="1"/>
  <c r="J685" i="1"/>
  <c r="J686" i="1"/>
  <c r="J687" i="1"/>
  <c r="J688" i="1"/>
  <c r="J689" i="1"/>
  <c r="J690" i="1"/>
  <c r="J691" i="1"/>
  <c r="J692" i="1"/>
  <c r="J693" i="1"/>
  <c r="J694" i="1"/>
  <c r="J695" i="1"/>
  <c r="J696" i="1"/>
  <c r="J697" i="1"/>
  <c r="J698" i="1"/>
  <c r="J699" i="1"/>
  <c r="J700" i="1"/>
  <c r="J701" i="1"/>
  <c r="J702" i="1"/>
  <c r="J703" i="1"/>
  <c r="J704" i="1"/>
  <c r="J705" i="1"/>
  <c r="J706" i="1"/>
  <c r="J707" i="1"/>
  <c r="J708" i="1"/>
  <c r="J709" i="1"/>
  <c r="J710" i="1"/>
  <c r="J711" i="1"/>
  <c r="J712" i="1"/>
  <c r="J713" i="1"/>
  <c r="J714" i="1"/>
  <c r="J715" i="1"/>
  <c r="J716" i="1"/>
  <c r="J717" i="1"/>
  <c r="J718" i="1"/>
  <c r="J719" i="1"/>
  <c r="J720" i="1"/>
  <c r="J721" i="1"/>
  <c r="J722" i="1"/>
  <c r="J723" i="1"/>
  <c r="J724" i="1"/>
  <c r="J725" i="1"/>
  <c r="J726" i="1"/>
  <c r="J727" i="1"/>
  <c r="J728" i="1"/>
  <c r="J729" i="1"/>
  <c r="J730" i="1"/>
  <c r="J731" i="1"/>
  <c r="J732" i="1"/>
  <c r="J733" i="1"/>
  <c r="J734" i="1"/>
  <c r="J735" i="1"/>
  <c r="J736" i="1"/>
  <c r="J737" i="1"/>
  <c r="J738" i="1"/>
  <c r="J739" i="1"/>
  <c r="J740" i="1"/>
  <c r="J741" i="1"/>
  <c r="J742" i="1"/>
  <c r="J743" i="1"/>
  <c r="J744" i="1"/>
  <c r="J745" i="1"/>
  <c r="J746" i="1"/>
  <c r="J747" i="1"/>
  <c r="J748" i="1"/>
  <c r="J749" i="1"/>
  <c r="J750" i="1"/>
  <c r="J751" i="1"/>
  <c r="J752" i="1"/>
  <c r="J753" i="1"/>
  <c r="J754" i="1"/>
  <c r="J755" i="1"/>
  <c r="J756" i="1"/>
  <c r="J757" i="1"/>
  <c r="J758" i="1"/>
  <c r="J759" i="1"/>
  <c r="J760" i="1"/>
  <c r="J761" i="1"/>
  <c r="J762" i="1"/>
  <c r="J763" i="1"/>
  <c r="J764" i="1"/>
  <c r="J765" i="1"/>
  <c r="J766" i="1"/>
  <c r="J767" i="1"/>
  <c r="J768" i="1"/>
  <c r="J769" i="1"/>
  <c r="J770" i="1"/>
  <c r="J771" i="1"/>
  <c r="J772" i="1"/>
  <c r="J773" i="1"/>
  <c r="J774" i="1"/>
  <c r="J775" i="1"/>
  <c r="J776" i="1"/>
  <c r="J777" i="1"/>
  <c r="J778" i="1"/>
  <c r="J779" i="1"/>
  <c r="J780" i="1"/>
  <c r="J781" i="1"/>
  <c r="J782" i="1"/>
  <c r="J783" i="1"/>
  <c r="J784" i="1"/>
  <c r="J785" i="1"/>
  <c r="J786" i="1"/>
  <c r="J787" i="1"/>
  <c r="J788" i="1"/>
  <c r="J789" i="1"/>
  <c r="J790" i="1"/>
  <c r="J791" i="1"/>
  <c r="J792" i="1"/>
  <c r="J793" i="1"/>
  <c r="J794" i="1"/>
  <c r="J795" i="1"/>
  <c r="J796" i="1"/>
  <c r="J797" i="1"/>
  <c r="J798" i="1"/>
  <c r="J799" i="1"/>
  <c r="J800" i="1"/>
  <c r="J801" i="1"/>
  <c r="J802" i="1"/>
  <c r="J803" i="1"/>
  <c r="J804" i="1"/>
  <c r="J805" i="1"/>
  <c r="J806" i="1"/>
  <c r="J807" i="1"/>
  <c r="J808" i="1"/>
  <c r="J809" i="1"/>
  <c r="J810" i="1"/>
  <c r="J811" i="1"/>
  <c r="J812" i="1"/>
  <c r="J813" i="1"/>
  <c r="J814" i="1"/>
  <c r="J815" i="1"/>
  <c r="J816" i="1"/>
  <c r="J817" i="1"/>
  <c r="J818" i="1"/>
  <c r="J819" i="1"/>
  <c r="J820" i="1"/>
  <c r="J821" i="1"/>
  <c r="J822" i="1"/>
  <c r="J823" i="1"/>
  <c r="J824" i="1"/>
  <c r="J825" i="1"/>
  <c r="J826" i="1"/>
  <c r="J827" i="1"/>
  <c r="J828" i="1"/>
  <c r="J829" i="1"/>
  <c r="J830" i="1"/>
  <c r="J831" i="1"/>
  <c r="J832" i="1"/>
  <c r="J833" i="1"/>
  <c r="J834" i="1"/>
  <c r="J835" i="1"/>
  <c r="J836" i="1"/>
  <c r="J837" i="1"/>
  <c r="J838" i="1"/>
  <c r="J839" i="1"/>
  <c r="J840" i="1"/>
  <c r="J841" i="1"/>
  <c r="J842" i="1"/>
  <c r="J843" i="1"/>
  <c r="J844" i="1"/>
  <c r="J845" i="1"/>
  <c r="J846" i="1"/>
  <c r="J847" i="1"/>
  <c r="J848" i="1"/>
  <c r="J849" i="1"/>
  <c r="J850" i="1"/>
  <c r="J851" i="1"/>
  <c r="J852" i="1"/>
  <c r="J853" i="1"/>
  <c r="J854" i="1"/>
  <c r="J855" i="1"/>
  <c r="J856" i="1"/>
  <c r="J857" i="1"/>
  <c r="J858" i="1"/>
  <c r="J859" i="1"/>
  <c r="J860" i="1"/>
  <c r="J861" i="1"/>
  <c r="J862" i="1"/>
  <c r="J863" i="1"/>
  <c r="J864" i="1"/>
  <c r="J865" i="1"/>
  <c r="J866" i="1"/>
  <c r="J867" i="1"/>
  <c r="J868" i="1"/>
  <c r="J869" i="1"/>
  <c r="J870" i="1"/>
  <c r="J871" i="1"/>
  <c r="J872" i="1"/>
  <c r="J873" i="1"/>
  <c r="J874" i="1"/>
  <c r="J875" i="1"/>
  <c r="J876" i="1"/>
  <c r="J877" i="1"/>
  <c r="J878" i="1"/>
  <c r="J879" i="1"/>
  <c r="J880" i="1"/>
  <c r="J881" i="1"/>
  <c r="J882" i="1"/>
  <c r="J883" i="1"/>
  <c r="J884" i="1"/>
  <c r="J885" i="1"/>
  <c r="J886" i="1"/>
  <c r="J887" i="1"/>
  <c r="J888" i="1"/>
  <c r="J889" i="1"/>
  <c r="J890" i="1"/>
  <c r="J891" i="1"/>
  <c r="J892" i="1"/>
  <c r="J893" i="1"/>
  <c r="J894" i="1"/>
  <c r="J895" i="1"/>
  <c r="J896" i="1"/>
  <c r="J897" i="1"/>
  <c r="J898" i="1"/>
  <c r="J899" i="1"/>
  <c r="J900" i="1"/>
  <c r="J901" i="1"/>
  <c r="J902" i="1"/>
  <c r="J903" i="1"/>
  <c r="J904" i="1"/>
  <c r="J905" i="1"/>
  <c r="J906" i="1"/>
  <c r="J907" i="1"/>
  <c r="J908" i="1"/>
  <c r="J909" i="1"/>
  <c r="J910" i="1"/>
  <c r="J911" i="1"/>
  <c r="J912" i="1"/>
  <c r="J913" i="1"/>
  <c r="J914" i="1"/>
  <c r="J915" i="1"/>
  <c r="J916" i="1"/>
  <c r="J917" i="1"/>
  <c r="J918" i="1"/>
  <c r="J919" i="1"/>
  <c r="J920" i="1"/>
  <c r="J921" i="1"/>
  <c r="J922" i="1"/>
  <c r="J923" i="1"/>
  <c r="J924" i="1"/>
  <c r="J925" i="1"/>
  <c r="J926" i="1"/>
  <c r="J927" i="1"/>
  <c r="J928" i="1"/>
  <c r="J929" i="1"/>
  <c r="J930" i="1"/>
  <c r="J931" i="1"/>
  <c r="J932" i="1"/>
  <c r="J933" i="1"/>
  <c r="J934" i="1"/>
  <c r="J935" i="1"/>
  <c r="J936" i="1"/>
  <c r="J937" i="1"/>
  <c r="J938" i="1"/>
  <c r="J939" i="1"/>
  <c r="J940" i="1"/>
  <c r="J941" i="1"/>
  <c r="J942" i="1"/>
  <c r="J943" i="1"/>
  <c r="J944" i="1"/>
  <c r="J945" i="1"/>
  <c r="J946" i="1"/>
  <c r="J947" i="1"/>
  <c r="J948" i="1"/>
  <c r="J949" i="1"/>
  <c r="J950" i="1"/>
  <c r="J951" i="1"/>
  <c r="J952" i="1"/>
  <c r="J953" i="1"/>
  <c r="J954" i="1"/>
  <c r="J955" i="1"/>
  <c r="J956" i="1"/>
  <c r="J957" i="1"/>
  <c r="J958" i="1"/>
  <c r="J959" i="1"/>
  <c r="J960" i="1"/>
  <c r="J961" i="1"/>
  <c r="J962" i="1"/>
  <c r="J963" i="1"/>
  <c r="J964" i="1"/>
  <c r="J965" i="1"/>
  <c r="J966" i="1"/>
  <c r="J967" i="1"/>
  <c r="J968" i="1"/>
  <c r="J969" i="1"/>
  <c r="J970" i="1"/>
  <c r="J971" i="1"/>
  <c r="J972" i="1"/>
  <c r="J973" i="1"/>
  <c r="J974" i="1"/>
  <c r="J975" i="1"/>
  <c r="J976" i="1"/>
  <c r="J977" i="1"/>
  <c r="J978" i="1"/>
  <c r="J979" i="1"/>
  <c r="J980" i="1"/>
  <c r="J981" i="1"/>
  <c r="J982" i="1"/>
  <c r="J983" i="1"/>
  <c r="J984" i="1"/>
  <c r="J985" i="1"/>
  <c r="J986" i="1"/>
  <c r="J987" i="1"/>
  <c r="J988" i="1"/>
  <c r="J989" i="1"/>
  <c r="J990" i="1"/>
  <c r="J991" i="1"/>
  <c r="J992" i="1"/>
  <c r="J993" i="1"/>
  <c r="J994" i="1"/>
  <c r="J995" i="1"/>
  <c r="J996" i="1"/>
  <c r="J997" i="1"/>
  <c r="J998" i="1"/>
  <c r="J999" i="1"/>
  <c r="J1000" i="1"/>
  <c r="J1001" i="1"/>
  <c r="J1002" i="1"/>
  <c r="J1003" i="1"/>
  <c r="J1004" i="1"/>
  <c r="J1005" i="1"/>
  <c r="J1006" i="1"/>
  <c r="J1007" i="1"/>
  <c r="J1008" i="1"/>
  <c r="J1009" i="1"/>
  <c r="J1010" i="1"/>
  <c r="J1011" i="1"/>
  <c r="J1012" i="1"/>
  <c r="J1013" i="1"/>
  <c r="J1014" i="1"/>
  <c r="J1015" i="1"/>
  <c r="J1016" i="1"/>
  <c r="J1017" i="1"/>
  <c r="J1018" i="1"/>
  <c r="J1019" i="1"/>
  <c r="J1020" i="1"/>
  <c r="J1021" i="1"/>
</calcChain>
</file>

<file path=xl/sharedStrings.xml><?xml version="1.0" encoding="utf-8"?>
<sst xmlns="http://schemas.openxmlformats.org/spreadsheetml/2006/main" count="4090" uniqueCount="1089">
  <si>
    <t>Country</t>
  </si>
  <si>
    <t>State</t>
  </si>
  <si>
    <t>City/Station</t>
  </si>
  <si>
    <t>WMO</t>
  </si>
  <si>
    <t>Source Data</t>
  </si>
  <si>
    <t>Latitude (N+/S-)</t>
  </si>
  <si>
    <t>Longitude (E+/W-)</t>
  </si>
  <si>
    <t>Time Zone (GMT +/-)</t>
  </si>
  <si>
    <t>Elevation (m)</t>
  </si>
  <si>
    <t>URL</t>
  </si>
  <si>
    <t>GUM</t>
  </si>
  <si>
    <t>GU</t>
  </si>
  <si>
    <t>Yigo-Andersen AFB</t>
  </si>
  <si>
    <t>TMY3</t>
  </si>
  <si>
    <t>Tamuning-Won Pat Intl AP</t>
  </si>
  <si>
    <t>USA</t>
  </si>
  <si>
    <t>HI</t>
  </si>
  <si>
    <t>Kalaeloa AP-NAS Barbers Point</t>
  </si>
  <si>
    <t>Hilo Intl AP</t>
  </si>
  <si>
    <t>Honolulu Intl AP</t>
  </si>
  <si>
    <t>Kahului AP</t>
  </si>
  <si>
    <t>_MCB Hawaii-Kaneohe Bay</t>
  </si>
  <si>
    <t>Kapalua-West Maui AP</t>
  </si>
  <si>
    <t>Keahole-Kona Intl AP</t>
  </si>
  <si>
    <t>Lanai AP</t>
  </si>
  <si>
    <t>Lihue AP</t>
  </si>
  <si>
    <t>Molokai AP</t>
  </si>
  <si>
    <t>PRI</t>
  </si>
  <si>
    <t>AL</t>
  </si>
  <si>
    <t>Aguadilla-Hernandez.AP-CGAS Borinquen</t>
  </si>
  <si>
    <t>MG</t>
  </si>
  <si>
    <t>Mayaguez-de Hostos AP</t>
  </si>
  <si>
    <t>PO</t>
  </si>
  <si>
    <t>Ponce-Mercedita AP</t>
  </si>
  <si>
    <t>CB</t>
  </si>
  <si>
    <t>Aguas Claras-NS Roosevelt Roads</t>
  </si>
  <si>
    <t>CN</t>
  </si>
  <si>
    <t>San Juan-Marin Intl AP</t>
  </si>
  <si>
    <t>VIR</t>
  </si>
  <si>
    <t>ST</t>
  </si>
  <si>
    <t>St Thomas Charlotte Amalie-Truman Intl AP</t>
  </si>
  <si>
    <t>AK</t>
  </si>
  <si>
    <t>Adak AP</t>
  </si>
  <si>
    <t>Ambler AP</t>
  </si>
  <si>
    <t>Anaktuvuk Pass AP</t>
  </si>
  <si>
    <t>Anchorage-JB Elmendorf-Richardson</t>
  </si>
  <si>
    <t>Anchorage Lake Hood Seaplane Base</t>
  </si>
  <si>
    <t>Anchorage Merrill Field</t>
  </si>
  <si>
    <t>Anchorage Stevens Intl AP</t>
  </si>
  <si>
    <t>Aniak AP</t>
  </si>
  <si>
    <t>Annette Island AP</t>
  </si>
  <si>
    <t>Anvik AP</t>
  </si>
  <si>
    <t>Barrow-Post-Rogers Meml AP</t>
  </si>
  <si>
    <t>Bethel AP</t>
  </si>
  <si>
    <t>Bettles AP</t>
  </si>
  <si>
    <t>Big Delta-Fort Greely-Allen AAF</t>
  </si>
  <si>
    <t>Big River Lake</t>
  </si>
  <si>
    <t>Birchwood AP</t>
  </si>
  <si>
    <t>Chulitna</t>
  </si>
  <si>
    <t>Cold Bay AP</t>
  </si>
  <si>
    <t>Cordova-Smith AP</t>
  </si>
  <si>
    <t>Deadhorse AP</t>
  </si>
  <si>
    <t>Dillingham AP</t>
  </si>
  <si>
    <t>Fairbanks-Eielson AFB</t>
  </si>
  <si>
    <t>Emmonak AP</t>
  </si>
  <si>
    <t>Fairbanks Intl AP</t>
  </si>
  <si>
    <t>Fort Yukon AP</t>
  </si>
  <si>
    <t>Gambell AP</t>
  </si>
  <si>
    <t>Gulkana AP</t>
  </si>
  <si>
    <t>Gustavus AP</t>
  </si>
  <si>
    <t>Hayes River</t>
  </si>
  <si>
    <t>Healy River AP</t>
  </si>
  <si>
    <t>Homer AP</t>
  </si>
  <si>
    <t>Hoonah AP</t>
  </si>
  <si>
    <t>Hooper Bay AP</t>
  </si>
  <si>
    <t>Huslia AP</t>
  </si>
  <si>
    <t>Hydaburg Seaplane Base</t>
  </si>
  <si>
    <t>Iliamna AP</t>
  </si>
  <si>
    <t>Juneau Intl AP</t>
  </si>
  <si>
    <t>Kake Seaplane Base</t>
  </si>
  <si>
    <t>Kenai Muni AP</t>
  </si>
  <si>
    <t>Ketchikan Intl AP</t>
  </si>
  <si>
    <t>King Salmon AP</t>
  </si>
  <si>
    <t>Kodiak Muni AP</t>
  </si>
  <si>
    <t>Kotzebue-Wein Meml AP</t>
  </si>
  <si>
    <t>McGrath AP</t>
  </si>
  <si>
    <t>Mekoryuk AP</t>
  </si>
  <si>
    <t>Middleton Island AP</t>
  </si>
  <si>
    <t>Minchumina AP</t>
  </si>
  <si>
    <t>Nenana Muni AP</t>
  </si>
  <si>
    <t>Nome AP</t>
  </si>
  <si>
    <t>Northway AP</t>
  </si>
  <si>
    <t>Palmer Muni AP</t>
  </si>
  <si>
    <t>Petersburg Johnson AP</t>
  </si>
  <si>
    <t>Point Hope AP</t>
  </si>
  <si>
    <t>Port Heiden AP</t>
  </si>
  <si>
    <t>Saint Marys AP</t>
  </si>
  <si>
    <t>Sand Point AP</t>
  </si>
  <si>
    <t>Savoonga AP</t>
  </si>
  <si>
    <t>Selawik AP</t>
  </si>
  <si>
    <t>Seward AP</t>
  </si>
  <si>
    <t>Shemya-Eareckson AS</t>
  </si>
  <si>
    <t>Shishmaref AP</t>
  </si>
  <si>
    <t>Sitka Gutierrez AP</t>
  </si>
  <si>
    <t>Skagway AP</t>
  </si>
  <si>
    <t>Sleetmute AP</t>
  </si>
  <si>
    <t>Soldotna AP</t>
  </si>
  <si>
    <t>St Paul Island AP</t>
  </si>
  <si>
    <t>Talkeetna AP</t>
  </si>
  <si>
    <t>Tanana-Calhoun Meml AP</t>
  </si>
  <si>
    <t>Togiak AP</t>
  </si>
  <si>
    <t>Unalakleet AP</t>
  </si>
  <si>
    <t>Unalaska-Madsen AP</t>
  </si>
  <si>
    <t>Valdez AP-Pioneer Field</t>
  </si>
  <si>
    <t>Valdez</t>
  </si>
  <si>
    <t>Whittier</t>
  </si>
  <si>
    <t>Wrangell AP</t>
  </si>
  <si>
    <t>Yakutat AP</t>
  </si>
  <si>
    <t>Anniston Rgnl AP</t>
  </si>
  <si>
    <t>Auburn Univ Rgnl AP</t>
  </si>
  <si>
    <t>Birmingham-Shuttlesworth Intl AP</t>
  </si>
  <si>
    <t>Dothan Rgnl AP</t>
  </si>
  <si>
    <t>Fort Rucker-Cairns AAF</t>
  </si>
  <si>
    <t>Gadsen-Northeast Alabama Rgnl AP</t>
  </si>
  <si>
    <t>Huntsville Intl AP-Jones Field</t>
  </si>
  <si>
    <t>Montgomery-Maxwell-Gunter AFB</t>
  </si>
  <si>
    <t>Mobile Downtown AP</t>
  </si>
  <si>
    <t>Mobile Rgnl AP</t>
  </si>
  <si>
    <t>Montgomery Rgnl AP-Dannelly Field</t>
  </si>
  <si>
    <t>Muscle Shoals-Northwest Alabama Rgnl AP</t>
  </si>
  <si>
    <t>Troy Muni AP</t>
  </si>
  <si>
    <t>Tuscaloosa Rgnl AP-Van De Graaff Field</t>
  </si>
  <si>
    <t>AR</t>
  </si>
  <si>
    <t>Batesville Rgnl AP</t>
  </si>
  <si>
    <t>Bentonville Muni AP</t>
  </si>
  <si>
    <t>El Dorado-South Arkansas Rgnl AP-Goodwin Field</t>
  </si>
  <si>
    <t>Fayetteville Exec AP-Drake Field</t>
  </si>
  <si>
    <t>Flippin-Marion County Rgnl AP</t>
  </si>
  <si>
    <t>Fort Smith Rgnl AP</t>
  </si>
  <si>
    <t>Harrison-Boone County Rgnl AP</t>
  </si>
  <si>
    <t>Hot Springs-Meml Field AP</t>
  </si>
  <si>
    <t>Jonesboro Muni AP</t>
  </si>
  <si>
    <t>Little Rock-Clinton Natl AP-Adams Field</t>
  </si>
  <si>
    <t>Little Rock AFB</t>
  </si>
  <si>
    <t>Pine Bluff-Grider Field</t>
  </si>
  <si>
    <t>Rogers Muni AP-Carter Field</t>
  </si>
  <si>
    <t>Siloam Springs-Smith Field</t>
  </si>
  <si>
    <t>Springdale Muni AP</t>
  </si>
  <si>
    <t>Stuttgart Muni AP</t>
  </si>
  <si>
    <t>Texarkana Rgnl AP-Webb Field</t>
  </si>
  <si>
    <t>Walnut Ridge Rgnl AP</t>
  </si>
  <si>
    <t>AZ</t>
  </si>
  <si>
    <t>Casa Grande Muni AP</t>
  </si>
  <si>
    <t>Tucscon-Davis-Monthan AFB</t>
  </si>
  <si>
    <t>Bisbee Douglas Intl AP</t>
  </si>
  <si>
    <t>Flagstaff Pulliam AP</t>
  </si>
  <si>
    <t>Grand Canyon Natl Park AP</t>
  </si>
  <si>
    <t>Kingman AP</t>
  </si>
  <si>
    <t>Glendale-Luke AFB</t>
  </si>
  <si>
    <t>Page Muni AP</t>
  </si>
  <si>
    <t>Phoenix-Deer Valley Muni AP</t>
  </si>
  <si>
    <t>Phoenix-Sky Harbor Intl AP</t>
  </si>
  <si>
    <t>Prescott Muni AP-Love Field</t>
  </si>
  <si>
    <t>Safford Rgnl AP</t>
  </si>
  <si>
    <t>Scottsdale AP</t>
  </si>
  <si>
    <t>Show Low Rgnl AP</t>
  </si>
  <si>
    <t>Tucson Intl AP</t>
  </si>
  <si>
    <t>Winslow-Lindberg Rgnl AP</t>
  </si>
  <si>
    <t>Yuma Intl AP</t>
  </si>
  <si>
    <t>Yuma-MCAS Yuma</t>
  </si>
  <si>
    <t>CA</t>
  </si>
  <si>
    <t>Alturas Muni AP</t>
  </si>
  <si>
    <t>Arcata-Eureka AP</t>
  </si>
  <si>
    <t>Bakersfield-Meadows Field AP</t>
  </si>
  <si>
    <t>Barstow-Daggett AP</t>
  </si>
  <si>
    <t>Beale AFB</t>
  </si>
  <si>
    <t>Bishop-Eastern Sierra Rgnl AP</t>
  </si>
  <si>
    <t>Blue Canyon-Nyack AP</t>
  </si>
  <si>
    <t>Blythe AP</t>
  </si>
  <si>
    <t>Burbank-Hope AP</t>
  </si>
  <si>
    <t>Camarillo AP</t>
  </si>
  <si>
    <t>MCAS Camp Pendleton</t>
  </si>
  <si>
    <t>Carlsbad-McClellan-Palomar AP</t>
  </si>
  <si>
    <t>NAWS China Lake</t>
  </si>
  <si>
    <t>Chino AP</t>
  </si>
  <si>
    <t>Chula Vista-Brown Muni Field AP</t>
  </si>
  <si>
    <t>Concord-Buchanan Field AP</t>
  </si>
  <si>
    <t>Crescent City-Del Norte County AP-McNamara Field</t>
  </si>
  <si>
    <t>Edwards AFB</t>
  </si>
  <si>
    <t>Fairfield-Travis AFB</t>
  </si>
  <si>
    <t>Fresno Yosemite Intl AP</t>
  </si>
  <si>
    <t>Fullerton Muni AP</t>
  </si>
  <si>
    <t>Hawthorne Muni AP-Northrop Field</t>
  </si>
  <si>
    <t>Hayward Exec AP</t>
  </si>
  <si>
    <t>Imperial County AP</t>
  </si>
  <si>
    <t>Lancaster-Fox Field</t>
  </si>
  <si>
    <t>NAS Lemoore</t>
  </si>
  <si>
    <t>Livermore Muni AP</t>
  </si>
  <si>
    <t>Lompoc AP</t>
  </si>
  <si>
    <t>Long Beach AP</t>
  </si>
  <si>
    <t>Los Angeles Intl AP</t>
  </si>
  <si>
    <t>Riverside-March ARB</t>
  </si>
  <si>
    <t>Merced Rgnl AP-Macready Field</t>
  </si>
  <si>
    <t>Modesto City-County AP</t>
  </si>
  <si>
    <t>Montague-Siskiyou County AP</t>
  </si>
  <si>
    <t>Monterey Rgnl AP</t>
  </si>
  <si>
    <t>Mountain View-Moffett Federal Field</t>
  </si>
  <si>
    <t>Napa County AP</t>
  </si>
  <si>
    <t>Needles AP</t>
  </si>
  <si>
    <t>Oakland Intl AP</t>
  </si>
  <si>
    <t>Oxnard AP</t>
  </si>
  <si>
    <t>Palm Springs-Thermal-Cochran Rgnl AP</t>
  </si>
  <si>
    <t>Palm Springs Intl AP</t>
  </si>
  <si>
    <t>Palmdale Rgnl AP</t>
  </si>
  <si>
    <t>Paso Robles Muni AP</t>
  </si>
  <si>
    <t>NB Ventura County-Point Mugu Field</t>
  </si>
  <si>
    <t>Porterville Muni AP</t>
  </si>
  <si>
    <t>Red Bluff Muni AP</t>
  </si>
  <si>
    <t>Redding Muni AP</t>
  </si>
  <si>
    <t>Riverside Muni AP</t>
  </si>
  <si>
    <t>Sacramento Exec AP</t>
  </si>
  <si>
    <t>Sacramento Intl AP</t>
  </si>
  <si>
    <t>Salinas Muni AP</t>
  </si>
  <si>
    <t>San Diego Intl AP-Lindbergh Field</t>
  </si>
  <si>
    <t>San Diego-MCAS Miramar</t>
  </si>
  <si>
    <t>San Diego-Montgomery Field AP</t>
  </si>
  <si>
    <t>San Diego-NAS North Island-Halsey Field</t>
  </si>
  <si>
    <t>San Francisco Intl AP</t>
  </si>
  <si>
    <t>San Jose-Mineta Intl AP</t>
  </si>
  <si>
    <t>San Luis Obispo County Rgnl AP</t>
  </si>
  <si>
    <t>Sandberg-Quail Lake Sky Park</t>
  </si>
  <si>
    <t>Orange County-Wayne Intl AP</t>
  </si>
  <si>
    <t>Santa Barbara Muni AP</t>
  </si>
  <si>
    <t>Santa Maria Public AP-Hancock Field</t>
  </si>
  <si>
    <t>Santa Monica AP</t>
  </si>
  <si>
    <t>Santa Rosa-Schulz-Sonoma County AP</t>
  </si>
  <si>
    <t>South Lake Tahoe-Lake Tahoe AP</t>
  </si>
  <si>
    <t>Stockton Metro AP</t>
  </si>
  <si>
    <t>Truckee Tahoe AP</t>
  </si>
  <si>
    <t>Twentynine Palms SELF</t>
  </si>
  <si>
    <t>Ukiah Muni AP</t>
  </si>
  <si>
    <t>Van Nuys AP</t>
  </si>
  <si>
    <t>Visalia Muni AP</t>
  </si>
  <si>
    <t>Marysville-Yuba County AP</t>
  </si>
  <si>
    <t>CO</t>
  </si>
  <si>
    <t>Akron-Colorado Plains Rgnl AP</t>
  </si>
  <si>
    <t>Alamosa-San Luis Valley Rgnl AP</t>
  </si>
  <si>
    <t>Aspen-Pitkin County AP-Sardy Field</t>
  </si>
  <si>
    <t>Aurora-Buckley AFB</t>
  </si>
  <si>
    <t>Boulder-Table Mountain SURFRAD</t>
  </si>
  <si>
    <t>Colorado Springs AP-Peterson Field</t>
  </si>
  <si>
    <t>Cortez-Montezuma County AP</t>
  </si>
  <si>
    <t>Craig-Moffat AP</t>
  </si>
  <si>
    <t>Denver Intl AP</t>
  </si>
  <si>
    <t>Durango-La Plata County AP</t>
  </si>
  <si>
    <t>Eagle County Rgnl AP</t>
  </si>
  <si>
    <t>Fort Collins-Loveland Muni AP</t>
  </si>
  <si>
    <t>Golden-NREL</t>
  </si>
  <si>
    <t>Grand Junction Rgnl AP</t>
  </si>
  <si>
    <t>Greeley-Weld County AP</t>
  </si>
  <si>
    <t>Gunnison-Crested Butte Rgnl AP</t>
  </si>
  <si>
    <t>Hayden-Yampa Valley Rgnl AP</t>
  </si>
  <si>
    <t>La Junta Muni AP</t>
  </si>
  <si>
    <t>Lamar Muni AP</t>
  </si>
  <si>
    <t>Leadville-Lake County AP</t>
  </si>
  <si>
    <t>Limon Muni AP</t>
  </si>
  <si>
    <t>Montrose Rgnl AP</t>
  </si>
  <si>
    <t>Pueblo Meml AP</t>
  </si>
  <si>
    <t>Rifle-Garfield County Rgnl AP</t>
  </si>
  <si>
    <t>Trinidad-Stokes AP</t>
  </si>
  <si>
    <t>CT</t>
  </si>
  <si>
    <t>Bridgeport-Sikorsky Meml AP</t>
  </si>
  <si>
    <t>Danbury Muni AP</t>
  </si>
  <si>
    <t>Groton-New London AP</t>
  </si>
  <si>
    <t>Hartford-Bradley Intl AP</t>
  </si>
  <si>
    <t>Hartford-Brainard AP</t>
  </si>
  <si>
    <t>Tweed New Haven AP</t>
  </si>
  <si>
    <t>Waterbury-Oxford AP</t>
  </si>
  <si>
    <t>DE</t>
  </si>
  <si>
    <t>Dover AFB</t>
  </si>
  <si>
    <t>Wilmington AP</t>
  </si>
  <si>
    <t>FL</t>
  </si>
  <si>
    <t>Crestview-Bob Sikes AP</t>
  </si>
  <si>
    <t>Daytona Beach Intl AP</t>
  </si>
  <si>
    <t>Fort Lauderdale Exec AP</t>
  </si>
  <si>
    <t>Fort Lauderdale-Hollywood Intl AP</t>
  </si>
  <si>
    <t>Fort Myers-Page Field</t>
  </si>
  <si>
    <t>Fort Pierce-St Lucie County Intl AP</t>
  </si>
  <si>
    <t>Fort Walton Beach-Hurlburt Field</t>
  </si>
  <si>
    <t>Gainesville Rgnl AP</t>
  </si>
  <si>
    <t>Homestead ARB</t>
  </si>
  <si>
    <t>Jacksonville Exec-Craig AP</t>
  </si>
  <si>
    <t>Jacksonville Intl AP</t>
  </si>
  <si>
    <t>NAS Jacksonville-Towers Field</t>
  </si>
  <si>
    <t>Key West Intl AP</t>
  </si>
  <si>
    <t>NAS Key West</t>
  </si>
  <si>
    <t>Lakeland Linder Rgnl AP</t>
  </si>
  <si>
    <t>Tampa-MacDill AFB</t>
  </si>
  <si>
    <t>Florida Keys Marathon AP</t>
  </si>
  <si>
    <t>Jacksonville-NS Mayport</t>
  </si>
  <si>
    <t>Melbourne Rgnl AP</t>
  </si>
  <si>
    <t>Miami Exec AP</t>
  </si>
  <si>
    <t>Miami-Opa Locka Exec AP</t>
  </si>
  <si>
    <t>Miami Intl AP</t>
  </si>
  <si>
    <t>Kennedy Space Center-NASA Shuttle Landing Facility</t>
  </si>
  <si>
    <t>Naples Muni AP</t>
  </si>
  <si>
    <t>Ocala Intl AP</t>
  </si>
  <si>
    <t>Orlando Sanford Intl AP</t>
  </si>
  <si>
    <t>Orlando Exec AP</t>
  </si>
  <si>
    <t>Orlando Intl AP</t>
  </si>
  <si>
    <t>Panama City-Bay County Intl AP</t>
  </si>
  <si>
    <t>NAS Pensacola-Sherman Field</t>
  </si>
  <si>
    <t>Pensacola Intl AP</t>
  </si>
  <si>
    <t>Sarasota-Bradenton Intl AP</t>
  </si>
  <si>
    <t>Fort Myers-Southwest Florida Intl AP</t>
  </si>
  <si>
    <t>St Petersburg-Whitted AP</t>
  </si>
  <si>
    <t>St Pete-Clearwater Intl AP</t>
  </si>
  <si>
    <t>Tallahassee Intl AP</t>
  </si>
  <si>
    <t>Tampa Intl AP</t>
  </si>
  <si>
    <t>Panama City-Tyndall AFB</t>
  </si>
  <si>
    <t>Destin-Fort Walton Beach AP-Elgin AFB</t>
  </si>
  <si>
    <t>Vero Beach Muni AP</t>
  </si>
  <si>
    <t>Palm Beach Intl AP</t>
  </si>
  <si>
    <t>NAS Whiting Field</t>
  </si>
  <si>
    <t>GA</t>
  </si>
  <si>
    <t>Albany-Southwest Georgia Rgnl AP</t>
  </si>
  <si>
    <t>Alma-Bacon County AP</t>
  </si>
  <si>
    <t>Athens-Epps AP</t>
  </si>
  <si>
    <t>Atlanta-Hartsfield-Jackson Intl AP</t>
  </si>
  <si>
    <t>Augusta Rgnl AP-Bush Field</t>
  </si>
  <si>
    <t>Brunswick-Golden Isles AP</t>
  </si>
  <si>
    <t>Brunswick-McKinnon St Simons Island AP</t>
  </si>
  <si>
    <t>Columbus Metro AP</t>
  </si>
  <si>
    <t>DeKalb-Peachtree AP</t>
  </si>
  <si>
    <t>Fort Benning-Lawson AAF</t>
  </si>
  <si>
    <t>Fulton County AP-Brown Field</t>
  </si>
  <si>
    <t>Macon-Middle Georgia Rgnl AP</t>
  </si>
  <si>
    <t>Marietta-Dobbins ARB</t>
  </si>
  <si>
    <t>Rome-Russell AP</t>
  </si>
  <si>
    <t>Savannah-Hunter AAF</t>
  </si>
  <si>
    <t>Savannah-Hilton Head Intl AP</t>
  </si>
  <si>
    <t>Valdosta-Moody AFB</t>
  </si>
  <si>
    <t>Valdosta Rgnl AP</t>
  </si>
  <si>
    <t>Warner Robins-Robins AFB</t>
  </si>
  <si>
    <t>IA</t>
  </si>
  <si>
    <t>Algona Muni AP</t>
  </si>
  <si>
    <t>Atlantic Muni AP</t>
  </si>
  <si>
    <t>Boone Muni AP</t>
  </si>
  <si>
    <t>Burlington-Southeast Iowa Rgnl AP</t>
  </si>
  <si>
    <t>Carroll-Neu AP</t>
  </si>
  <si>
    <t>Cedar Rapids-Eastern Iowa AP</t>
  </si>
  <si>
    <t>Chariton Muni AP</t>
  </si>
  <si>
    <t>Charles City-Northeast Iowa Rgnl AP</t>
  </si>
  <si>
    <t>Clarinda Muni AP-Schenck Field</t>
  </si>
  <si>
    <t>Clinton Muni AP</t>
  </si>
  <si>
    <t>Council Bluffs Muni AP</t>
  </si>
  <si>
    <t>Creston Muni AP</t>
  </si>
  <si>
    <t>Decorah Muni AP</t>
  </si>
  <si>
    <t>Denison Muni AP</t>
  </si>
  <si>
    <t>Des Moines Intl AP</t>
  </si>
  <si>
    <t>Dubuque Rgnl AP</t>
  </si>
  <si>
    <t>Estherville Muni AP</t>
  </si>
  <si>
    <t>Fairfield Muni AP</t>
  </si>
  <si>
    <t>Fort Dodge Rgnl AP</t>
  </si>
  <si>
    <t>Fort Madison Muni AP</t>
  </si>
  <si>
    <t>Keokuk Muni AP</t>
  </si>
  <si>
    <t>Knoxville Muni AP</t>
  </si>
  <si>
    <t>Le Mars Muni AP</t>
  </si>
  <si>
    <t>Mason City Muni AP</t>
  </si>
  <si>
    <t>Monticello Rgnl AP</t>
  </si>
  <si>
    <t>Muscatine Muni AP</t>
  </si>
  <si>
    <t>Newton Muni AP</t>
  </si>
  <si>
    <t>Oelwein Muni AP</t>
  </si>
  <si>
    <t>Orange City Muni AP</t>
  </si>
  <si>
    <t>Ottumwa Rgnl AP</t>
  </si>
  <si>
    <t>Red Oak Muni AP</t>
  </si>
  <si>
    <t>Sheldon Muni AP</t>
  </si>
  <si>
    <t>Shenandoah Muni AP</t>
  </si>
  <si>
    <t>Sioux City-Sioux Gateway AP</t>
  </si>
  <si>
    <t>Spencer Muni AP</t>
  </si>
  <si>
    <t>Storm Lake Muni AP</t>
  </si>
  <si>
    <t>Washington Muni AP</t>
  </si>
  <si>
    <t>Waterloo Rgnl AP</t>
  </si>
  <si>
    <t>Webster City Muni AP</t>
  </si>
  <si>
    <t>ID</t>
  </si>
  <si>
    <t>Boise AP-Gowen Field ANGB</t>
  </si>
  <si>
    <t>Burley Muni AP</t>
  </si>
  <si>
    <t>Caldwell Industrial AP</t>
  </si>
  <si>
    <t>Coeur dAlene AP-Boyington Field</t>
  </si>
  <si>
    <t>Hailey-Friedman.Meml.AP</t>
  </si>
  <si>
    <t>Idaho Falls Rgnl AP-Fanning Field</t>
  </si>
  <si>
    <t>Lewiston-Nez Perce County AP</t>
  </si>
  <si>
    <t>Malad City AP</t>
  </si>
  <si>
    <t>Mountain Home AFB</t>
  </si>
  <si>
    <t>Pocatello Rgnl AP</t>
  </si>
  <si>
    <t>Salmon-Lemhi County AP</t>
  </si>
  <si>
    <t>Soda Springs-Tigert AP</t>
  </si>
  <si>
    <t>Twin Falls-Magic Valley Rgnl AP-Joslin Field</t>
  </si>
  <si>
    <t>IL</t>
  </si>
  <si>
    <t>Aurora Muni AP</t>
  </si>
  <si>
    <t>Belleville-Scott AFB</t>
  </si>
  <si>
    <t>Bloomington Normal-Central Illinois Rgnl AP</t>
  </si>
  <si>
    <t>Cahokia-St Louis Downtown AP</t>
  </si>
  <si>
    <t>Carbondale-Southern Illinois AP</t>
  </si>
  <si>
    <t>Chicago Midway Intl AP</t>
  </si>
  <si>
    <t>Chicago OHare Intl AP</t>
  </si>
  <si>
    <t>Decatur AP</t>
  </si>
  <si>
    <t>Du Page AP</t>
  </si>
  <si>
    <t>Marion-Williamson County Rgnl AP</t>
  </si>
  <si>
    <t>Moline-Quad City Intl AP</t>
  </si>
  <si>
    <t>Mount Vernon Outland AP</t>
  </si>
  <si>
    <t>Peoria-Downing Peoria Intl AP</t>
  </si>
  <si>
    <t>Quincy Rgnl AP-Baldwin Field</t>
  </si>
  <si>
    <t>Rockford-Chicago Rockford Intl AP</t>
  </si>
  <si>
    <t>Springfield-Lincoln Capital AP</t>
  </si>
  <si>
    <t>Sterling-Rock Falls-Whiteside County AP-Bittorf Field</t>
  </si>
  <si>
    <t>Urbana-Champaign-Univ Illinois Willard AP-Bondville SURFRAD</t>
  </si>
  <si>
    <t>Waukegan Rgnl AP</t>
  </si>
  <si>
    <t>IN</t>
  </si>
  <si>
    <t>Muncie-Delaware County Rgnl AP</t>
  </si>
  <si>
    <t>Evansville Rgnl AP</t>
  </si>
  <si>
    <t>Fort Wayne Intl AP</t>
  </si>
  <si>
    <t>Grissom ARB</t>
  </si>
  <si>
    <t>Huntingburg Muni AP</t>
  </si>
  <si>
    <t>Indianapolis Intl AP</t>
  </si>
  <si>
    <t>Lafayette-Purdue Univ AP</t>
  </si>
  <si>
    <t>Bloomington-Monroe County AP</t>
  </si>
  <si>
    <t>South Bend Intl AP</t>
  </si>
  <si>
    <t>Terre Haute Intl AP-Hulman Field ANGB</t>
  </si>
  <si>
    <t>KS</t>
  </si>
  <si>
    <t>Chanute Johnson AP</t>
  </si>
  <si>
    <t>Concordia-Blosser Muni AP</t>
  </si>
  <si>
    <t>Dodge City Rgnl AP</t>
  </si>
  <si>
    <t>Emporia Muni AP</t>
  </si>
  <si>
    <t>Fort Riley-Marshall AAF</t>
  </si>
  <si>
    <t>Garden City Rgnl AP</t>
  </si>
  <si>
    <t>Goodland Muni AP-Renner Field</t>
  </si>
  <si>
    <t>Great Bend Muni AP</t>
  </si>
  <si>
    <t>Hays Rgnl AP</t>
  </si>
  <si>
    <t>Hill City Muni AP</t>
  </si>
  <si>
    <t>Hutchinson Muni AP</t>
  </si>
  <si>
    <t>Liberal Mid-America Rgnl AP</t>
  </si>
  <si>
    <t>Manhattan Rgnl AP</t>
  </si>
  <si>
    <t>Newton City-County AP</t>
  </si>
  <si>
    <t>Olathe-Johnson County Exec AP</t>
  </si>
  <si>
    <t>Olathe-New Century AirCenter</t>
  </si>
  <si>
    <t>Russell Muni AP</t>
  </si>
  <si>
    <t>Salina Rgnl AP</t>
  </si>
  <si>
    <t>Topeka-Forbes Field ANGB</t>
  </si>
  <si>
    <t>Topeka-Billard Muni AP</t>
  </si>
  <si>
    <t>Wichita-Jabara AP</t>
  </si>
  <si>
    <t>Wichita-McConnell AFB</t>
  </si>
  <si>
    <t>Wichita Eisenhower Natl AP</t>
  </si>
  <si>
    <t>KY</t>
  </si>
  <si>
    <t>Bowling Green-Warren County Rgnl AP</t>
  </si>
  <si>
    <t>Cincinnati-Northern Kentucky Intl AP</t>
  </si>
  <si>
    <t>Fort Campbell-Campbell AAF</t>
  </si>
  <si>
    <t>Fort Knox-Godman AAF</t>
  </si>
  <si>
    <t>Henderson City-County AP</t>
  </si>
  <si>
    <t>Jackson-Carroll AP</t>
  </si>
  <si>
    <t>Lexington-Blue Grass AP</t>
  </si>
  <si>
    <t>London-Corbin AP-Magee Field</t>
  </si>
  <si>
    <t>Louisville-Bowman Field AP</t>
  </si>
  <si>
    <t>Louisville Intl AP</t>
  </si>
  <si>
    <t>Paducah-Barkley Rgnl AP</t>
  </si>
  <si>
    <t>Somerset-Lake Cumberland Rgnl AP</t>
  </si>
  <si>
    <t>LA</t>
  </si>
  <si>
    <t>Alexandria Intl AP</t>
  </si>
  <si>
    <t>Alexandria-Esler Rgnl AP</t>
  </si>
  <si>
    <t>Shreveport-Bossier City-Barksdale AFB</t>
  </si>
  <si>
    <t>Baton Rouge Metro AP</t>
  </si>
  <si>
    <t>Fort Polk-Polk AAF</t>
  </si>
  <si>
    <t>Houma-Terrebonne AP</t>
  </si>
  <si>
    <t>Lafayette Rgnl AP</t>
  </si>
  <si>
    <t>Lake Charles-Chennault Intl AP</t>
  </si>
  <si>
    <t>Lake Charles Rgnl AP</t>
  </si>
  <si>
    <t>Monroe Rgnl AP</t>
  </si>
  <si>
    <t>New Iberia-Acadiana Rgnl AP</t>
  </si>
  <si>
    <t>New Orleans-NAS JRB New.Orleans-Callender Field</t>
  </si>
  <si>
    <t>New Orleans-Lakefront AP</t>
  </si>
  <si>
    <t>New Orleans-Armstrong Intl AP</t>
  </si>
  <si>
    <t>Patterson-Williams Mem AP</t>
  </si>
  <si>
    <t>Shreveport Downtown AP</t>
  </si>
  <si>
    <t>Shreveport Rgnl AP</t>
  </si>
  <si>
    <t>MA</t>
  </si>
  <si>
    <t>Barnstable Muni AP-Boardman Poland Field</t>
  </si>
  <si>
    <t>Beverly Muni AP</t>
  </si>
  <si>
    <t>Boston-Logan Intl AP</t>
  </si>
  <si>
    <t>Chicopee-Westover Metro AP</t>
  </si>
  <si>
    <t>Lawrence Muni AP</t>
  </si>
  <si>
    <t>Marthas Vineyard AP</t>
  </si>
  <si>
    <t>Nantucket Meml AP</t>
  </si>
  <si>
    <t>New Bedford Rgnl AP</t>
  </si>
  <si>
    <t>North Adams-Harriman-West AP</t>
  </si>
  <si>
    <t>Norwood Meml AP</t>
  </si>
  <si>
    <t>Otis ANGB</t>
  </si>
  <si>
    <t>Plymouth Muni AP</t>
  </si>
  <si>
    <t>Provincetown Muni AP</t>
  </si>
  <si>
    <t>Westfield-Barnes Rgnl AP</t>
  </si>
  <si>
    <t>Worcester Rgnl AP</t>
  </si>
  <si>
    <t>MD</t>
  </si>
  <si>
    <t>Camp Springs-JB Andrews</t>
  </si>
  <si>
    <t>_Baltimore-Washington Intl Marshall AP</t>
  </si>
  <si>
    <t>Hagerstown Rgnl AP-Henson Field</t>
  </si>
  <si>
    <t>NAS Patuxent River</t>
  </si>
  <si>
    <t>Salisbury-Ocean City-Wicomico Rgnl AP</t>
  </si>
  <si>
    <t>ME</t>
  </si>
  <si>
    <t>Auburn-Lewiston Muni AP</t>
  </si>
  <si>
    <t>Augusta State AP</t>
  </si>
  <si>
    <t>Bangor Intl AP</t>
  </si>
  <si>
    <t>Hancock County-Bar Harbor AP</t>
  </si>
  <si>
    <t>Brunswick Exec AP-NAS Brunswick</t>
  </si>
  <si>
    <t>Caribou Muni AP</t>
  </si>
  <si>
    <t>Frenchville-Northern Aroostook Rgnl AP</t>
  </si>
  <si>
    <t>Houlton Intl AP</t>
  </si>
  <si>
    <t>Millinocket Muni AP</t>
  </si>
  <si>
    <t>Portland Intl Jetport</t>
  </si>
  <si>
    <t>Presque Isle-Northern Maine Rgnl AP</t>
  </si>
  <si>
    <t>Rockland-Knox County Rgnl AP</t>
  </si>
  <si>
    <t>Sanford Seacoast Rgnl AP</t>
  </si>
  <si>
    <t>Waterville Lafleur AP</t>
  </si>
  <si>
    <t>Wiscasset AP</t>
  </si>
  <si>
    <t>MI</t>
  </si>
  <si>
    <t>Alpena County Rgnl AP</t>
  </si>
  <si>
    <t>Ann Arbor Muni AP</t>
  </si>
  <si>
    <t>Battle Creek-Kellogg AP</t>
  </si>
  <si>
    <t>Benton Harbor Ross-Southwest Michigan Rgnl AP</t>
  </si>
  <si>
    <t>Cadillac-Wexford County AP</t>
  </si>
  <si>
    <t>Sault Ste Marie-Chippewa County Intl AP</t>
  </si>
  <si>
    <t>Detroit-Young Intl AP</t>
  </si>
  <si>
    <t>Ypsilanti-Willow Run AP</t>
  </si>
  <si>
    <t>Detroit Metro Wayne County AP</t>
  </si>
  <si>
    <t>Escanaba-Delta County AP</t>
  </si>
  <si>
    <t>Flint-Bishop Intl AP</t>
  </si>
  <si>
    <t>Grand Rapids-Ford Intl AP</t>
  </si>
  <si>
    <t>Hancock-Houghton County Meml AP</t>
  </si>
  <si>
    <t>Houghton Lake-Roscommon County AP</t>
  </si>
  <si>
    <t>Howell-Livingston County Hardy AP</t>
  </si>
  <si>
    <t>Iron Mountain-Ford AP</t>
  </si>
  <si>
    <t>Ironwood-Gogebic-Iron County AP</t>
  </si>
  <si>
    <t>Jackson-Jackson County AP-Reynolds Field</t>
  </si>
  <si>
    <t>Kalamazoo-Battle Creek Intl AP</t>
  </si>
  <si>
    <t>Lansing Capital Region Intl AP</t>
  </si>
  <si>
    <t>Manistee-Manistee County-Blacker AP</t>
  </si>
  <si>
    <t>Menominee-Marinette Twin County AP</t>
  </si>
  <si>
    <t>Mount Clemens-Selfridge ANGB</t>
  </si>
  <si>
    <t>Muskegon-Muskegon County AP</t>
  </si>
  <si>
    <t>Pontiac-Oakland County Intl AP</t>
  </si>
  <si>
    <t>Oscoda-Wurtsmith AP</t>
  </si>
  <si>
    <t>Pellston Rgnl AP</t>
  </si>
  <si>
    <t>Saginaw-MBS Intl AP</t>
  </si>
  <si>
    <t>Sault Ste Marie Muni AP-Sanderson Field</t>
  </si>
  <si>
    <t>Port Huron-St Clair County Intl AP</t>
  </si>
  <si>
    <t>Traverse City-Cherry Capital AP</t>
  </si>
  <si>
    <t>MN</t>
  </si>
  <si>
    <t>Aitkin Muni AP</t>
  </si>
  <si>
    <t>Albert Lea Muni AP</t>
  </si>
  <si>
    <t>Alexandria Muni AP-Chandler Field</t>
  </si>
  <si>
    <t>Austin Muni AP</t>
  </si>
  <si>
    <t>Baudette Intl AP</t>
  </si>
  <si>
    <t>Bemidji Rgnl AP</t>
  </si>
  <si>
    <t>Benson Muni AP</t>
  </si>
  <si>
    <t>Brainerd Lakes Rgnl AP</t>
  </si>
  <si>
    <t>Cambridge Muni AP</t>
  </si>
  <si>
    <t>Cloquet-Carlton County AP</t>
  </si>
  <si>
    <t>Crane Lake-Scotts Seaplane Base</t>
  </si>
  <si>
    <t>Crookston Muni AP</t>
  </si>
  <si>
    <t>Detroit Lakes AP</t>
  </si>
  <si>
    <t>Duluth Intl AP-Duluth ANGB</t>
  </si>
  <si>
    <t>Eden Prairie-Flying Cloud AP</t>
  </si>
  <si>
    <t>Ely Muni AP</t>
  </si>
  <si>
    <t>Eveleth-Virginia Muni AP</t>
  </si>
  <si>
    <t>Fairmont Muni AP</t>
  </si>
  <si>
    <t>Faribault Muni AP</t>
  </si>
  <si>
    <t>Fergus Falls Muni AP-Mickelson Field</t>
  </si>
  <si>
    <t>Fosston Muni AP</t>
  </si>
  <si>
    <t>Glenwood Muni AP</t>
  </si>
  <si>
    <t>Grand Rapids-Itasca County AP</t>
  </si>
  <si>
    <t>Hallock Muni AP</t>
  </si>
  <si>
    <t>Hibbing-Range Rgnl AP</t>
  </si>
  <si>
    <t>Hutchinson Muni AP-Butler Field</t>
  </si>
  <si>
    <t>International Falls-Falls Intl AP</t>
  </si>
  <si>
    <t>Litchfield Muni AP</t>
  </si>
  <si>
    <t>Little Falls-Morrison County AP</t>
  </si>
  <si>
    <t>Mankato Rgnl AP</t>
  </si>
  <si>
    <t>Marshall-Southwest Minnesota Rgnl AP-Ryan Field</t>
  </si>
  <si>
    <t>Minneapolis-Crystal AP</t>
  </si>
  <si>
    <t>Minneapolis-St Paul Intl AP</t>
  </si>
  <si>
    <t>Mora Muni AP</t>
  </si>
  <si>
    <t>Morris Muni AP-Schmidt Field</t>
  </si>
  <si>
    <t>New Ulm Muni AP</t>
  </si>
  <si>
    <t>Orr Rgnl AP</t>
  </si>
  <si>
    <t>Owatonna Degner Rgnl AP</t>
  </si>
  <si>
    <t>Park Rapids Muni AP-Konshok Field</t>
  </si>
  <si>
    <t>Pipestone Muni AP</t>
  </si>
  <si>
    <t>Red Wing Rgnl AP</t>
  </si>
  <si>
    <t>Redwood Falls Muni AP</t>
  </si>
  <si>
    <t>Rochester Intl AP</t>
  </si>
  <si>
    <t>Roseau Muni AP-Billberg Field</t>
  </si>
  <si>
    <t>Silver Bay Muni AP</t>
  </si>
  <si>
    <t>South St Paul Muni AP-Fleming Field</t>
  </si>
  <si>
    <t>St Cloud Rgnl AP</t>
  </si>
  <si>
    <t>St Paul Downtown AP-Holman Field</t>
  </si>
  <si>
    <t>Thief River Falls Rgnl AP</t>
  </si>
  <si>
    <t>Two Harbors Helgeson Muni AP</t>
  </si>
  <si>
    <t>Wheaton Muni AP</t>
  </si>
  <si>
    <t>Willmar Muni AP-Rice Field</t>
  </si>
  <si>
    <t>Winona Muni AP-Conrad Field</t>
  </si>
  <si>
    <t>Worthington Muni AP</t>
  </si>
  <si>
    <t>MO</t>
  </si>
  <si>
    <t>Cape Girardeau Rgnl AP</t>
  </si>
  <si>
    <t>Columbia Rgnl AP</t>
  </si>
  <si>
    <t>Farmington Rgnl AP</t>
  </si>
  <si>
    <t>Fort Leonard Wood-Waynesville-St Robert Rgnl AP-Forney Field</t>
  </si>
  <si>
    <t>Jefferson City Meml AP</t>
  </si>
  <si>
    <t>Joplin Rgnl AP</t>
  </si>
  <si>
    <t>Kaiser-Osage Beach-Fine Meml AP</t>
  </si>
  <si>
    <t>Kansas City-Wheeler Downtown AP</t>
  </si>
  <si>
    <t>Kansas City Intl AP</t>
  </si>
  <si>
    <t>Kirksville Rgnl AP</t>
  </si>
  <si>
    <t>Poplar Bluff Muni AP</t>
  </si>
  <si>
    <t>Rolla Natl AP</t>
  </si>
  <si>
    <t>Springfield-Branson Natl AP</t>
  </si>
  <si>
    <t>St Joseph-Rosecrans Meml AP</t>
  </si>
  <si>
    <t>St Louis-Lambert Intl AP</t>
  </si>
  <si>
    <t>St Louis-Spirit of St Louis AP</t>
  </si>
  <si>
    <t>Whiteman AFB</t>
  </si>
  <si>
    <t>MS</t>
  </si>
  <si>
    <t>Biloxi-Keesler AFB</t>
  </si>
  <si>
    <t>Columbus AFB</t>
  </si>
  <si>
    <t>Columbus-Golden Triangle Rgnl AP</t>
  </si>
  <si>
    <t>Greenville Mid-Delta AP</t>
  </si>
  <si>
    <t>Greenwood-Leflore AP</t>
  </si>
  <si>
    <t>Gulfport-Biloxi Intl AP</t>
  </si>
  <si>
    <t>Hattiesburg-Laurel Rgnl AP</t>
  </si>
  <si>
    <t>Jackson-Evers Intl AP</t>
  </si>
  <si>
    <t>McComb-Pike County AP-Lewis Field</t>
  </si>
  <si>
    <t>Meridian Rgnl AP-Key Field</t>
  </si>
  <si>
    <t>NAS Meridian</t>
  </si>
  <si>
    <t>Natchez-Adams County AP-Hardy-Anders Field</t>
  </si>
  <si>
    <t>Tupelo Rgnl AP</t>
  </si>
  <si>
    <t>MT</t>
  </si>
  <si>
    <t>Billings Logan Intl AP</t>
  </si>
  <si>
    <t>Bozeman Yellowstone Intl AP</t>
  </si>
  <si>
    <t>Butte-Mooney AP</t>
  </si>
  <si>
    <t>Cut Bank Intl AP</t>
  </si>
  <si>
    <t>Glasgow Intl AP</t>
  </si>
  <si>
    <t>Glendive-Dawson Community AP</t>
  </si>
  <si>
    <t>Great Falls Intl AP</t>
  </si>
  <si>
    <t>Havre City-County AP</t>
  </si>
  <si>
    <t>Helena Rgnl AP</t>
  </si>
  <si>
    <t>Kalispell-Glacier Park Intl AP</t>
  </si>
  <si>
    <t>Lewistown Muni AP</t>
  </si>
  <si>
    <t>Livingston-Mission Field AP</t>
  </si>
  <si>
    <t>Miles City AP-Wiley Field</t>
  </si>
  <si>
    <t>Missoula Intl AP</t>
  </si>
  <si>
    <t>Sidney-Richland Rgnl AP</t>
  </si>
  <si>
    <t>Wolf Point Intl AP-Fort Peck SURFRAD</t>
  </si>
  <si>
    <t>NC</t>
  </si>
  <si>
    <t>Asheville Rgnl AP</t>
  </si>
  <si>
    <t>Cape Hatteras Natl Seashore-Mitchell AP</t>
  </si>
  <si>
    <t>Charlotte Douglas Intl AP</t>
  </si>
  <si>
    <t>Havelock-MCAS Cherry Point</t>
  </si>
  <si>
    <t>Elizabeth City Rgnl AP-CGAS Elizabeth City</t>
  </si>
  <si>
    <t>Fayetteville-Fort Bragg-Pope Field</t>
  </si>
  <si>
    <t>Fayetteville Rgnl AP-Grannis Field</t>
  </si>
  <si>
    <t>Fayetteville-Fort Bragg-Simmons AAF</t>
  </si>
  <si>
    <t>Goldsboro-Seymour Johnson AFB</t>
  </si>
  <si>
    <t>Greensboro-Piedmont Triad Intl AP</t>
  </si>
  <si>
    <t>Hickory Rgnl AP</t>
  </si>
  <si>
    <t>Jacksonville-Ellis AP</t>
  </si>
  <si>
    <t>Kinston Rgnl Jetport-Stallings Field</t>
  </si>
  <si>
    <t>Manteo-Dare County Rgnl AP</t>
  </si>
  <si>
    <t>New Bern-Coastal Carolina Rgnl AP</t>
  </si>
  <si>
    <t>Jacksonville-MCAS New River-McCutcheon Field</t>
  </si>
  <si>
    <t>Pitt-Greenville AP</t>
  </si>
  <si>
    <t>Raleigh-Durham Intl AP</t>
  </si>
  <si>
    <t>Rocky Mount-Wilson Rgnl AP</t>
  </si>
  <si>
    <t>Southern Pines-Moore County AP</t>
  </si>
  <si>
    <t>Wilmington Intl AP</t>
  </si>
  <si>
    <t>Winston-Salem-Reynolds AP</t>
  </si>
  <si>
    <t>ND</t>
  </si>
  <si>
    <t>Bismarck Muni AP</t>
  </si>
  <si>
    <t>Devils Lake Rgnl AP</t>
  </si>
  <si>
    <t>Dickinson Roosevelt Rgnl AP</t>
  </si>
  <si>
    <t>Fargo-Hector Intl AP</t>
  </si>
  <si>
    <t>Grand Forks AFB</t>
  </si>
  <si>
    <t>Grand Forks Intl AP</t>
  </si>
  <si>
    <t>Jamestown Rgnl AP</t>
  </si>
  <si>
    <t>Minot AFB</t>
  </si>
  <si>
    <t>Minot Intl AP</t>
  </si>
  <si>
    <t>Williston-Sloulin Field Intl AP</t>
  </si>
  <si>
    <t>NE</t>
  </si>
  <si>
    <t>Ainsworth Rgnl AP</t>
  </si>
  <si>
    <t>Alliance Muni AP</t>
  </si>
  <si>
    <t>Beatrice Muni AP</t>
  </si>
  <si>
    <t>Bellevue-Offutt AFB</t>
  </si>
  <si>
    <t>Broken Bow Muni AP</t>
  </si>
  <si>
    <t>Chadron Muni AP</t>
  </si>
  <si>
    <t>Columbus Muni AP</t>
  </si>
  <si>
    <t>Falls City-Brenner Field AP</t>
  </si>
  <si>
    <t>Fremont Muni AP</t>
  </si>
  <si>
    <t>Grand Island-Central Nebraska Rgnl AP</t>
  </si>
  <si>
    <t>Hastings Muni AP</t>
  </si>
  <si>
    <t>Holdrege-Brewster Field AP</t>
  </si>
  <si>
    <t>Imperial Muni AP</t>
  </si>
  <si>
    <t>Kearney Rgnl AP</t>
  </si>
  <si>
    <t>Lincoln AP</t>
  </si>
  <si>
    <t>McCook Nelson Rgnl AP</t>
  </si>
  <si>
    <t>Norfolk Rgnl AP-Stefan Meml Field</t>
  </si>
  <si>
    <t>North Platte Rgnl AP-Bird Field</t>
  </si>
  <si>
    <t>ONeill Muni AP-Baker Field</t>
  </si>
  <si>
    <t>Omaha-Eppley Airfield-Millard AP</t>
  </si>
  <si>
    <t>Omaha North WSFO AP</t>
  </si>
  <si>
    <t>Ord-Sharp Field AP</t>
  </si>
  <si>
    <t>Scottsbluff-Western Nebraska Rgnl AP-Heilig Field</t>
  </si>
  <si>
    <t>Sidney Muni AP-Carr Field</t>
  </si>
  <si>
    <t>Tekamah Muni AP</t>
  </si>
  <si>
    <t>Valentine-Miller Field AP</t>
  </si>
  <si>
    <t>NH</t>
  </si>
  <si>
    <t>Berlin Rgnl AP</t>
  </si>
  <si>
    <t>Concord Muni AP</t>
  </si>
  <si>
    <t>Keene-Dillant-Hopkins AP</t>
  </si>
  <si>
    <t>Laconia Muni AP</t>
  </si>
  <si>
    <t>Lebanon Muni AP</t>
  </si>
  <si>
    <t>Manchester-Boston Rgnl AP</t>
  </si>
  <si>
    <t>Mount Washington Observatory</t>
  </si>
  <si>
    <t>Portsmouth Intl AP</t>
  </si>
  <si>
    <t>NJ</t>
  </si>
  <si>
    <t>Atlantic City Intl AP</t>
  </si>
  <si>
    <t>Belmar-Monmouth Exec AP</t>
  </si>
  <si>
    <t>Caldwell-Essex County AP</t>
  </si>
  <si>
    <t>Cape May AP</t>
  </si>
  <si>
    <t>JB McGuire-Dix-Lakehurst-McGuire AFB</t>
  </si>
  <si>
    <t>Millville Muni AP</t>
  </si>
  <si>
    <t>Newark Liberty Intl AP</t>
  </si>
  <si>
    <t>Teterboro AP</t>
  </si>
  <si>
    <t>Trenton-Mercer AP</t>
  </si>
  <si>
    <t>NM</t>
  </si>
  <si>
    <t>Albuquerque Intl Sunport</t>
  </si>
  <si>
    <t>Carlsbad-Cavern City Air Terminal</t>
  </si>
  <si>
    <t>Clayton Muni Airpark</t>
  </si>
  <si>
    <t>Clovis-Cannon AFB</t>
  </si>
  <si>
    <t>Clovis Muni AP</t>
  </si>
  <si>
    <t>Deming Muni AP</t>
  </si>
  <si>
    <t>Farmington-Four Corners Rgnl AP</t>
  </si>
  <si>
    <t>Gallup Muni AP</t>
  </si>
  <si>
    <t>Alamogordo-Holloman AFB</t>
  </si>
  <si>
    <t>Las Cruces Intl AP</t>
  </si>
  <si>
    <t>Las Vegas Muni AP</t>
  </si>
  <si>
    <t>Roswell Industrial Air Center</t>
  </si>
  <si>
    <t>Ruidoso-Sierra Blanca Rgnl AP</t>
  </si>
  <si>
    <t>Santa Fe Muni AP</t>
  </si>
  <si>
    <t>Taos Rgnl AP</t>
  </si>
  <si>
    <t>Truth or Consequences Muni AP</t>
  </si>
  <si>
    <t>Tucumcari Muni AP</t>
  </si>
  <si>
    <t>NV</t>
  </si>
  <si>
    <t>Elko Rgnl AP-Harris Field</t>
  </si>
  <si>
    <t>Ely AP-Yelland Field</t>
  </si>
  <si>
    <t>NAS Fallon-Van Voorhis Field</t>
  </si>
  <si>
    <t>Las Vegas-McCarran Intl AP</t>
  </si>
  <si>
    <t>Lovelock-Derby Field</t>
  </si>
  <si>
    <t>Mercury-Desert Rock AP-SURFRAD</t>
  </si>
  <si>
    <t>Las Vegas-Nellis AFB</t>
  </si>
  <si>
    <t>Reno-Tahoe Intl AP</t>
  </si>
  <si>
    <t>Tonopah AP</t>
  </si>
  <si>
    <t>Winnemucca Muni AP</t>
  </si>
  <si>
    <t>NY</t>
  </si>
  <si>
    <t>Albany Intl AP</t>
  </si>
  <si>
    <t>Binghamton-Greater Binghamton AP-Link Field</t>
  </si>
  <si>
    <t>Buffalo Niagara Intl AP</t>
  </si>
  <si>
    <t>Elmira-Corning Rgnl AP</t>
  </si>
  <si>
    <t>Watertown-Fort Drum-Wheeler-Sack AAF</t>
  </si>
  <si>
    <t>Glens Falls-Bennett Meml AP</t>
  </si>
  <si>
    <t>Islip-Long Island MacArthur AP</t>
  </si>
  <si>
    <t>Chautauqua County-Jamestown AP-Jackson Field</t>
  </si>
  <si>
    <t>Massena Intl AP-Richards Field</t>
  </si>
  <si>
    <t>Monticello-Sullivan County Intl AP</t>
  </si>
  <si>
    <t>New York-Central Park Observatory-Belevedere Castle</t>
  </si>
  <si>
    <t>New York-Kennedy Intl AP</t>
  </si>
  <si>
    <t>New York-LaGuardia AP</t>
  </si>
  <si>
    <t>Newburgh-Stewart Intl AP</t>
  </si>
  <si>
    <t>Niagara Falls Intl AP</t>
  </si>
  <si>
    <t>Poughkeepsie-Dutchess County AP</t>
  </si>
  <si>
    <t>Farmingdale-Republic AP</t>
  </si>
  <si>
    <t>Rochester-Greater Rochester Intl AP</t>
  </si>
  <si>
    <t>Saranac Lake-Adirondack Rgnl AP</t>
  </si>
  <si>
    <t>Syracuse Hancock Intl AP</t>
  </si>
  <si>
    <t>Utica-Oneida County AP</t>
  </si>
  <si>
    <t>Watertown Intl AP</t>
  </si>
  <si>
    <t>Westhampton-Grabreski AP</t>
  </si>
  <si>
    <t>White Plains-Westchester County AP</t>
  </si>
  <si>
    <t>OH</t>
  </si>
  <si>
    <t>Akron-Canton AP</t>
  </si>
  <si>
    <t>Cincinnati Muni AP-Lunken Field</t>
  </si>
  <si>
    <t>Cleveland Burke Lakefront AP</t>
  </si>
  <si>
    <t>Cleveland Hopkins Intl AP</t>
  </si>
  <si>
    <t>Columbus-Port Columbus Intl AP</t>
  </si>
  <si>
    <t>Dayton-Wright-Patterson AFB</t>
  </si>
  <si>
    <t>Dayton Intl AP</t>
  </si>
  <si>
    <t>Findlay AP</t>
  </si>
  <si>
    <t>Mansfield Lahm Rgnl AP</t>
  </si>
  <si>
    <t>Columbus-Ohio State Univ AP</t>
  </si>
  <si>
    <t>Toledo Express AP</t>
  </si>
  <si>
    <t>Youngstown-Warren Rgnl AP</t>
  </si>
  <si>
    <t>Zanesville Muni AP</t>
  </si>
  <si>
    <t>OK</t>
  </si>
  <si>
    <t>Altus AFB</t>
  </si>
  <si>
    <t>Bartlesville Muni AP-Phillips Field</t>
  </si>
  <si>
    <t>Clinton-Sherman Industrial Airpark</t>
  </si>
  <si>
    <t>Lawton-Fort Sill-Post AAF</t>
  </si>
  <si>
    <t>Gage-Shattuck AP</t>
  </si>
  <si>
    <t>Hobart Rgnl AP</t>
  </si>
  <si>
    <t>Lawton-Fort Sill Rgnl AP</t>
  </si>
  <si>
    <t>McAlester Rgnl AP</t>
  </si>
  <si>
    <t>Oklahoma City-Tinker AFB</t>
  </si>
  <si>
    <t>Oklahoma City-Post AP</t>
  </si>
  <si>
    <t>Oklahoma City-Rogers World AP</t>
  </si>
  <si>
    <t>Ponca City Rgnl AP</t>
  </si>
  <si>
    <t>Stillwater Rgnl AP-Searcy Field</t>
  </si>
  <si>
    <t>Tulsa Intl AP</t>
  </si>
  <si>
    <t>Enid-Vance AFB</t>
  </si>
  <si>
    <t>OR</t>
  </si>
  <si>
    <t>Astoria Rgnl AP</t>
  </si>
  <si>
    <t>Aurora State AP-Lematta Field</t>
  </si>
  <si>
    <t>Baker City Muni AP</t>
  </si>
  <si>
    <t>Burns Muni AP</t>
  </si>
  <si>
    <t>Corvallis Muni AP</t>
  </si>
  <si>
    <t>Eugene AP-Sweet Field</t>
  </si>
  <si>
    <t>Crater Lake-Klamath Rgnl AP</t>
  </si>
  <si>
    <t>La Grande-Union County AP</t>
  </si>
  <si>
    <t>Lakeview-Lake County AP</t>
  </si>
  <si>
    <t>Medford-Rogue Valley Intl-Medford AP</t>
  </si>
  <si>
    <t>North Bend-Southwest Oregon Rgnl AP</t>
  </si>
  <si>
    <t>Pendleton-Eastern Oregon Rgnl AP</t>
  </si>
  <si>
    <t>Portland-Hillsboro AP</t>
  </si>
  <si>
    <t>Portland-Troutdale AP</t>
  </si>
  <si>
    <t>Portland Intl AP</t>
  </si>
  <si>
    <t>Redmond Muni AP-Roberts Field</t>
  </si>
  <si>
    <t>Roseburg Rgnl AP-Carl Meml Field</t>
  </si>
  <si>
    <t>Salem Muni AP-McNary Field</t>
  </si>
  <si>
    <t>Grants Pass-Sexton Summit</t>
  </si>
  <si>
    <t>PA</t>
  </si>
  <si>
    <t>Allentown-Lehigh Valley Intl AP</t>
  </si>
  <si>
    <t>Altoona-Blair County AP</t>
  </si>
  <si>
    <t>Bradford Rgnl AP</t>
  </si>
  <si>
    <t>Butler County AP-Scholter Field</t>
  </si>
  <si>
    <t>DuBois Rgnl AP</t>
  </si>
  <si>
    <t>Erie Intl AP-Ridge Field</t>
  </si>
  <si>
    <t>Franklin-Venango AP-Lemberton Field</t>
  </si>
  <si>
    <t>Harrisburg-Capital City AP</t>
  </si>
  <si>
    <t>Harrisburg Intl AP</t>
  </si>
  <si>
    <t>Johnstown-Cambria County AP</t>
  </si>
  <si>
    <t>Lancaster AP</t>
  </si>
  <si>
    <t>Philadelphia-Northeast Philadelphia AP</t>
  </si>
  <si>
    <t>Philadelphia Intl AP</t>
  </si>
  <si>
    <t>Pittsburgh-Allegheny County AP</t>
  </si>
  <si>
    <t>Pittsburgh Intl AP</t>
  </si>
  <si>
    <t>Reading Rgnl AP-Spaatz Field</t>
  </si>
  <si>
    <t>State College-Penn State Univ SURFRAD</t>
  </si>
  <si>
    <t>Washington County AP</t>
  </si>
  <si>
    <t>Wilkes-Barre-Scranton Intl AP</t>
  </si>
  <si>
    <t>Williamsport Rgnl AP</t>
  </si>
  <si>
    <t>NAS JRB Willow Grove</t>
  </si>
  <si>
    <t>RI</t>
  </si>
  <si>
    <t>Block Island State AP</t>
  </si>
  <si>
    <t>Pawtucket-North Central State AP</t>
  </si>
  <si>
    <t>Providence-Green Meml State AP</t>
  </si>
  <si>
    <t>SC</t>
  </si>
  <si>
    <t>Anderson Rgnl AP</t>
  </si>
  <si>
    <t>MCAS Beaufort</t>
  </si>
  <si>
    <t>Charleston Intl AP</t>
  </si>
  <si>
    <t>Columbia Metro AP</t>
  </si>
  <si>
    <t>Florence Rgnl AP</t>
  </si>
  <si>
    <t>Greenville Downtown AP</t>
  </si>
  <si>
    <t>Greenville-Spartanburg Intl AP</t>
  </si>
  <si>
    <t>Myrtle Beach Intl AP</t>
  </si>
  <si>
    <t>North Myrtle Beach-Grand Strand AP</t>
  </si>
  <si>
    <t>Sumter-Shaw AFB</t>
  </si>
  <si>
    <t>SD</t>
  </si>
  <si>
    <t>Aberdeen Rgnl AP</t>
  </si>
  <si>
    <t>Brookings Rgnl AP</t>
  </si>
  <si>
    <t>Rapid City-Ellsworth AFB</t>
  </si>
  <si>
    <t>Huron Rgnl AP</t>
  </si>
  <si>
    <t>Mitchell Muni AP</t>
  </si>
  <si>
    <t>Mobridge Muni AP</t>
  </si>
  <si>
    <t>Pierre Rgnl AP</t>
  </si>
  <si>
    <t>Rapid City Rgnl AP</t>
  </si>
  <si>
    <t>Sioux Falls Rgnl AP-Foss Field</t>
  </si>
  <si>
    <t>Watertown Rgnl AP</t>
  </si>
  <si>
    <t>Yankton-Gurney Muni AP</t>
  </si>
  <si>
    <t>TN</t>
  </si>
  <si>
    <t>Bristol-Tri-Cities Rgnl AP</t>
  </si>
  <si>
    <t>Chattanooga Metro AP-Lovell Field</t>
  </si>
  <si>
    <t>Crossville Meml AP-Whitson Field</t>
  </si>
  <si>
    <t>Dyersburg Rgnl AP</t>
  </si>
  <si>
    <t>Jackson-McKellar-Sipes Rgnl AP</t>
  </si>
  <si>
    <t>Knoxville-McGhee Tyson AP</t>
  </si>
  <si>
    <t>Memphis Intl AP</t>
  </si>
  <si>
    <t>Nashville Intl AP</t>
  </si>
  <si>
    <t>TX</t>
  </si>
  <si>
    <t>Abilene-Dyess AFB</t>
  </si>
  <si>
    <t>Abilene Rgnl AP</t>
  </si>
  <si>
    <t>Alice Intl AP</t>
  </si>
  <si>
    <t>Amarillo-Husband Amarillo Intl AP</t>
  </si>
  <si>
    <t>Austin-Camp Mabry</t>
  </si>
  <si>
    <t>Austin-Mueller Muni AP</t>
  </si>
  <si>
    <t>Brownsville-South Padre Island Intl AP</t>
  </si>
  <si>
    <t>Childress Muni AP</t>
  </si>
  <si>
    <t>College Station-Easterwood AP</t>
  </si>
  <si>
    <t>Corpus Christi Intl AP</t>
  </si>
  <si>
    <t>NAS Corpus Christi-Truax Field</t>
  </si>
  <si>
    <t>Cotulla Muni AP</t>
  </si>
  <si>
    <t>Paris-Cox Field</t>
  </si>
  <si>
    <t>Dalhart Muni AP</t>
  </si>
  <si>
    <t>Dallas-Addison AP</t>
  </si>
  <si>
    <t>Dallas-Fort Worth Intl AP</t>
  </si>
  <si>
    <t>Dallas Love Field</t>
  </si>
  <si>
    <t>Dallas Exec AP</t>
  </si>
  <si>
    <t>Del Rio-Laughlin AFB</t>
  </si>
  <si>
    <t>Del Rio Intl AP</t>
  </si>
  <si>
    <t>Temple-Draughon-Miller Central Texas Rgnl AP</t>
  </si>
  <si>
    <t>El Paso Intl AP</t>
  </si>
  <si>
    <t>Killeen-Fort Hood-Hood AAF</t>
  </si>
  <si>
    <t>Fort Worth Alliance AP</t>
  </si>
  <si>
    <t>Fort Worth Meacham Intl AP</t>
  </si>
  <si>
    <t>Fort Worth-NAS JRB Fort Worth-Carswell Field</t>
  </si>
  <si>
    <t>Galveston-Scholes Intl AP</t>
  </si>
  <si>
    <t>Georgetown Muni AP</t>
  </si>
  <si>
    <t>Greenville-Majors AP</t>
  </si>
  <si>
    <t>Harlingen-Valley Intl AP</t>
  </si>
  <si>
    <t>Hondo-South Texas Rgnl AP</t>
  </si>
  <si>
    <t>Houston-Bush Intercontinental AP</t>
  </si>
  <si>
    <t>Houston-Hooks AP</t>
  </si>
  <si>
    <t>Houston-Ellington AP</t>
  </si>
  <si>
    <t>Houston-Hobby AP</t>
  </si>
  <si>
    <t>Killeen-Fort Hood Rgnl AP-Gray AAF</t>
  </si>
  <si>
    <t>Killeen-Skylark Field</t>
  </si>
  <si>
    <t>NAS Kingsville</t>
  </si>
  <si>
    <t>Laredo Intl AP</t>
  </si>
  <si>
    <t>Longview-East Texas Rgnl AP</t>
  </si>
  <si>
    <t>Lubbock Smith Intl AP</t>
  </si>
  <si>
    <t>Lufkin-Angelina Co AP</t>
  </si>
  <si>
    <t>Marfa Muni AP</t>
  </si>
  <si>
    <t>McAllen Miller Intl AP</t>
  </si>
  <si>
    <t>McGregor Exec AP</t>
  </si>
  <si>
    <t>Midland Intl Air and Space Port</t>
  </si>
  <si>
    <t>Mineral Wells AP</t>
  </si>
  <si>
    <t>Nacogdoches-Mangham Rgnl AP</t>
  </si>
  <si>
    <t>Palacios Muni AP</t>
  </si>
  <si>
    <t>Beaumont-Port Arthur-Brooks Rgnl AP</t>
  </si>
  <si>
    <t>San Antonio-JB San Antonio-Randolph AFB</t>
  </si>
  <si>
    <t>Rockport-Aransas Co AP</t>
  </si>
  <si>
    <t>San Angelo Rgnl AP-Mathis Field</t>
  </si>
  <si>
    <t>San Antonio-JB San Antonio-Kelly Field Annex</t>
  </si>
  <si>
    <t>San Antonio-Stinson Muni AP</t>
  </si>
  <si>
    <t>San Antonio Intl AP</t>
  </si>
  <si>
    <t>Tyler Pounds Rgnl AP</t>
  </si>
  <si>
    <t>Victoria Rgnl AP</t>
  </si>
  <si>
    <t>Waco Rgnl AP</t>
  </si>
  <si>
    <t>Wichita Falls Muni AP-Sheppard AFB</t>
  </si>
  <si>
    <t>Wink-Winkler County AP</t>
  </si>
  <si>
    <t>UT</t>
  </si>
  <si>
    <t>Blanding Muni AP</t>
  </si>
  <si>
    <t>Bryce Canyon AP</t>
  </si>
  <si>
    <t>Cedar City Rgnl AP</t>
  </si>
  <si>
    <t>Delta Muni AP</t>
  </si>
  <si>
    <t>Hanksville AP</t>
  </si>
  <si>
    <t>Moab-Canyonlands Field</t>
  </si>
  <si>
    <t>Ogden-Hill AFB</t>
  </si>
  <si>
    <t>Ogden-Hinckley AP</t>
  </si>
  <si>
    <t>Provo Muni AP</t>
  </si>
  <si>
    <t>Saint George Rgnl AP</t>
  </si>
  <si>
    <t>Salt Lake City Intl AP</t>
  </si>
  <si>
    <t>Vernal Rgnl AP</t>
  </si>
  <si>
    <t>Wendover AP</t>
  </si>
  <si>
    <t>VA</t>
  </si>
  <si>
    <t>Abingdon-Virgina Highlands AP</t>
  </si>
  <si>
    <t>Arlington-Reagan Washington Natl AP</t>
  </si>
  <si>
    <t>Blacksburg-Virginia Tech Montgomery Exec AP</t>
  </si>
  <si>
    <t>Charlottesville-Albemarle AP</t>
  </si>
  <si>
    <t>Danville Rgnl AP</t>
  </si>
  <si>
    <t>Lorton-Fort Belvoir-Davison AAF</t>
  </si>
  <si>
    <t>Farmville Rgnl AP</t>
  </si>
  <si>
    <t>Franklin Muni AP-Rose Field</t>
  </si>
  <si>
    <t>Fredericksburg-Shannon AP</t>
  </si>
  <si>
    <t>Hillsville-Twin County AP</t>
  </si>
  <si>
    <t>Hot Springs-Ingalls Field AP</t>
  </si>
  <si>
    <t>Hampton-JB Langley-Eustis-Langley Field</t>
  </si>
  <si>
    <t>Leesburg Exec AP-Godfrey Field</t>
  </si>
  <si>
    <t>Lynchburg Rgnl AP-Glen Field</t>
  </si>
  <si>
    <t>Manassas Rgnl AP-Davis Field</t>
  </si>
  <si>
    <t>Marion-Wytheville-Mountain Empire AP</t>
  </si>
  <si>
    <t>Martinsville-Blue Ridge Rgnl AP</t>
  </si>
  <si>
    <t>Melfa-Accomack County AP</t>
  </si>
  <si>
    <t>Newport News-Williamsburg Intl AP</t>
  </si>
  <si>
    <t>Norfolk Intl AP</t>
  </si>
  <si>
    <t>Norfolk-NS Norfolk-Chambers Field</t>
  </si>
  <si>
    <t>Virginia Beach-NAS Oceana</t>
  </si>
  <si>
    <t>Petersburg-Dinwiddie County AP</t>
  </si>
  <si>
    <t>Pulaski-Dublin-Radford-New River Valley AP</t>
  </si>
  <si>
    <t>Quantico-MCB Quantico-MCAF Quantico-Turner Field</t>
  </si>
  <si>
    <t>Richmond Intl AP</t>
  </si>
  <si>
    <t>Roanoke-Blacksburg Rgnl AP-Woodrum Field</t>
  </si>
  <si>
    <t>Staunton-Shenandoah Valley Rgnl AP</t>
  </si>
  <si>
    <t>Dulles-Washington Dulles Intl AP</t>
  </si>
  <si>
    <t>Winchester Rgnl AP</t>
  </si>
  <si>
    <t>Wise-Lonesome Pine AP</t>
  </si>
  <si>
    <t>VT</t>
  </si>
  <si>
    <t>Burlington Intl AP</t>
  </si>
  <si>
    <t>Montpelier-Knapp State AP</t>
  </si>
  <si>
    <t>Rutland-Southern Vermont Rgnl AP</t>
  </si>
  <si>
    <t>Springfield-Hartness State AP</t>
  </si>
  <si>
    <t>WA</t>
  </si>
  <si>
    <t>Bellingham Intl AP</t>
  </si>
  <si>
    <t>Bremerton Natl AP</t>
  </si>
  <si>
    <t>Ephrata Muni AP</t>
  </si>
  <si>
    <t>Spokane-Fairchild AFB</t>
  </si>
  <si>
    <t>Takoma-JB Lewis-McChord-Gray AAF</t>
  </si>
  <si>
    <t>Hanford MS</t>
  </si>
  <si>
    <t>Hoquiam-Bowerman AP</t>
  </si>
  <si>
    <t>Kelso-Longview-Southwest.Washington.Rgnl AP</t>
  </si>
  <si>
    <t>Moses Lake-Grant County Intl AP</t>
  </si>
  <si>
    <t>Olympia Rgnl AP</t>
  </si>
  <si>
    <t>Pasco-Tri-Cities AP</t>
  </si>
  <si>
    <t>Port Angeles-Fairchild Intl AP</t>
  </si>
  <si>
    <t>Pullman-Moscow Rgnl AP</t>
  </si>
  <si>
    <t>Quillayute AP</t>
  </si>
  <si>
    <t>Renton Muni AP</t>
  </si>
  <si>
    <t>Seattle-King County Intl AP-Boeing Field</t>
  </si>
  <si>
    <t>Seattle-Tacoma Intl AP</t>
  </si>
  <si>
    <t>Everett-Snohomish County AP-Paine Field</t>
  </si>
  <si>
    <t>Spokane-Felts Field</t>
  </si>
  <si>
    <t>Spokane Intl AP</t>
  </si>
  <si>
    <t>Stampede Pass</t>
  </si>
  <si>
    <t>Tacoma-JB Lewis-McChord-McChord Field</t>
  </si>
  <si>
    <t>Tacoma Narrows AP</t>
  </si>
  <si>
    <t>The Dalles-Columbia Gorge Rgnl AP</t>
  </si>
  <si>
    <t>Toledo-South Lewis County AP-Carlson Meml Field</t>
  </si>
  <si>
    <t>Walla Walla Rgnl AP</t>
  </si>
  <si>
    <t>Wenatchee-Pangborn Meml AP</t>
  </si>
  <si>
    <t>Oak Harbor-NAS Whidbey Island-Ault Field</t>
  </si>
  <si>
    <t>Yakima Air Terminal-McAllister Field</t>
  </si>
  <si>
    <t>WI</t>
  </si>
  <si>
    <t>Appleton Intl AP</t>
  </si>
  <si>
    <t>Eau Claire-Chippewa Valley Rgnl AP</t>
  </si>
  <si>
    <t>Ephraim-Gibraltar AP</t>
  </si>
  <si>
    <t>Green Bay-Straubel Intl AP</t>
  </si>
  <si>
    <t>Janesville-Southern Wisconsin Rgnl AP</t>
  </si>
  <si>
    <t>La Crosse Rgnl AP</t>
  </si>
  <si>
    <t>Lone Rock-Tri-County Rgnl AP</t>
  </si>
  <si>
    <t>Madison-Dane County Rgnl AP-Truax Field</t>
  </si>
  <si>
    <t>Manitowac County AP</t>
  </si>
  <si>
    <t>Marshfield Muni AP</t>
  </si>
  <si>
    <t>Milwaukee-Mitchell Intl AP</t>
  </si>
  <si>
    <t>Minocqua-Woodruff-Lakeland.AP-Lee Field</t>
  </si>
  <si>
    <t>Mosinee-Central Wisconsin AP</t>
  </si>
  <si>
    <t>Phillips-Price County AP</t>
  </si>
  <si>
    <t>Rhinelander-Oneida County AP</t>
  </si>
  <si>
    <t>Rice Lake Rgnl AP</t>
  </si>
  <si>
    <t>Sturgeon Bay-Door County Cherryland AP</t>
  </si>
  <si>
    <t>Wausau Downtown AP</t>
  </si>
  <si>
    <t>Oshkosh-Wittman Rgnl AP</t>
  </si>
  <si>
    <t>WV</t>
  </si>
  <si>
    <t>Beckley-Raleigh County Meml AP</t>
  </si>
  <si>
    <t>Bluefield-Mercer County AP</t>
  </si>
  <si>
    <t>Charleston-Yeager AP</t>
  </si>
  <si>
    <t>Clarksburg-Fairmont-North Central West Virginia AP</t>
  </si>
  <si>
    <t>Elkins-Randolph County Rgnl AP</t>
  </si>
  <si>
    <t>Huntington-Tri-State AP-Ferguson Field</t>
  </si>
  <si>
    <t>Lewisburg-Greenbrier Valley AP</t>
  </si>
  <si>
    <t>Martinsburg-Eastern West Virginia Rgnl AP-Shepherd Field</t>
  </si>
  <si>
    <t>Morgantown Muni AP-Hart Field</t>
  </si>
  <si>
    <t>Parkersburg-Mid-Ohio Valley Rgnl AP-Wilson Field</t>
  </si>
  <si>
    <t>Wheeling Ohio County AP</t>
  </si>
  <si>
    <t>WY</t>
  </si>
  <si>
    <t>Casper-Natrona County Intl AP</t>
  </si>
  <si>
    <t>Cheyenne Rgnl AP</t>
  </si>
  <si>
    <t>Cody-Yellowstone Rgnl AP</t>
  </si>
  <si>
    <t>Evanston-Uinta County AP-Burns Field</t>
  </si>
  <si>
    <t>Gillette-Campbell County AP</t>
  </si>
  <si>
    <t>Rock Springs-Sweetwater County AP</t>
  </si>
  <si>
    <t>Jackson Hole AP</t>
  </si>
  <si>
    <t>Lander-Hunt Field</t>
  </si>
  <si>
    <t>Laramie Rgnl AP</t>
  </si>
  <si>
    <t>Rawlins Muni AP-Harvey Field</t>
  </si>
  <si>
    <t>Riverton Rgnl AP</t>
  </si>
  <si>
    <t>Sheridan County AP</t>
  </si>
  <si>
    <t>Worland Muni 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</si>
</sst>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0C0C1-3793-455F-80CF-A460DD89EA46}">
  <dimension ref="A1:J102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7.7109375" bestFit="1" customWidth="1"/>
    <col min="2" max="2" width="5.28515625" bestFit="1" customWidth="1"/>
    <col min="3" max="3" width="58" bestFit="1" customWidth="1"/>
    <col min="4" max="5" width="7" bestFit="1" customWidth="1"/>
  </cols>
  <sheetData>
    <row r="1" spans="1:10" ht="45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t="s">
        <v>9</v>
      </c>
    </row>
    <row r="2" spans="1:10" x14ac:dyDescent="0.25">
      <c r="A2" t="s">
        <v>10</v>
      </c>
      <c r="B2" t="s">
        <v>11</v>
      </c>
      <c r="C2" t="s">
        <v>12</v>
      </c>
      <c r="D2">
        <v>912180</v>
      </c>
      <c r="E2" t="s">
        <v>13</v>
      </c>
      <c r="F2">
        <v>13.567</v>
      </c>
      <c r="G2">
        <v>144.917</v>
      </c>
      <c r="H2">
        <v>10</v>
      </c>
      <c r="I2">
        <v>162</v>
      </c>
      <c r="J2" t="str">
        <f>HYPERLINK("https://climate.onebuilding.org/WMO_Region_5_Southwest_Pacific/GUM_Guam/GUM_YG_Yigo-Andersen.AFB.912180_TMY3.zip")</f>
        <v>https://climate.onebuilding.org/WMO_Region_5_Southwest_Pacific/GUM_Guam/GUM_YG_Yigo-Andersen.AFB.912180_TMY3.zip</v>
      </c>
    </row>
    <row r="3" spans="1:10" x14ac:dyDescent="0.25">
      <c r="A3" t="s">
        <v>10</v>
      </c>
      <c r="B3" t="s">
        <v>11</v>
      </c>
      <c r="C3" t="s">
        <v>14</v>
      </c>
      <c r="D3">
        <v>912120</v>
      </c>
      <c r="E3" t="s">
        <v>13</v>
      </c>
      <c r="F3">
        <v>13.483000000000001</v>
      </c>
      <c r="G3">
        <v>144.80000000000001</v>
      </c>
      <c r="H3">
        <v>10</v>
      </c>
      <c r="I3">
        <v>77</v>
      </c>
      <c r="J3" t="str">
        <f>HYPERLINK("https://climate.onebuilding.org/WMO_Region_5_Southwest_Pacific/GUM_Guam/GUM_TM_Tamuning-Won.Pat.Intl.AP.912120_TMY3.zip")</f>
        <v>https://climate.onebuilding.org/WMO_Region_5_Southwest_Pacific/GUM_Guam/GUM_TM_Tamuning-Won.Pat.Intl.AP.912120_TMY3.zip</v>
      </c>
    </row>
    <row r="4" spans="1:10" x14ac:dyDescent="0.25">
      <c r="A4" t="s">
        <v>15</v>
      </c>
      <c r="B4" t="s">
        <v>16</v>
      </c>
      <c r="C4" t="s">
        <v>17</v>
      </c>
      <c r="D4">
        <v>911780</v>
      </c>
      <c r="E4" t="s">
        <v>13</v>
      </c>
      <c r="F4">
        <v>21.317</v>
      </c>
      <c r="G4">
        <v>-158.06700000000001</v>
      </c>
      <c r="H4">
        <v>-10</v>
      </c>
      <c r="I4">
        <v>15</v>
      </c>
      <c r="J4" t="str">
        <f>HYPERLINK("https://climate.onebuilding.org/WMO_Region_5_Southwest_Pacific/USA_United_States_of_America/HI_Hawaii/USA_HI_Kalaeloa.AP-NAS.Barbers.Point.911780_TMY3.zip")</f>
        <v>https://climate.onebuilding.org/WMO_Region_5_Southwest_Pacific/USA_United_States_of_America/HI_Hawaii/USA_HI_Kalaeloa.AP-NAS.Barbers.Point.911780_TMY3.zip</v>
      </c>
    </row>
    <row r="5" spans="1:10" x14ac:dyDescent="0.25">
      <c r="A5" t="s">
        <v>15</v>
      </c>
      <c r="B5" t="s">
        <v>16</v>
      </c>
      <c r="C5" t="s">
        <v>18</v>
      </c>
      <c r="D5">
        <v>912850</v>
      </c>
      <c r="E5" t="s">
        <v>13</v>
      </c>
      <c r="F5">
        <v>19.716999999999999</v>
      </c>
      <c r="G5">
        <v>-155.05000000000001</v>
      </c>
      <c r="H5">
        <v>-10</v>
      </c>
      <c r="I5">
        <v>9</v>
      </c>
      <c r="J5" t="str">
        <f>HYPERLINK("https://climate.onebuilding.org/WMO_Region_5_Southwest_Pacific/USA_United_States_of_America/HI_Hawaii/USA_HI_Hilo.Intl.AP.912850_TMY3.zip")</f>
        <v>https://climate.onebuilding.org/WMO_Region_5_Southwest_Pacific/USA_United_States_of_America/HI_Hawaii/USA_HI_Hilo.Intl.AP.912850_TMY3.zip</v>
      </c>
    </row>
    <row r="6" spans="1:10" x14ac:dyDescent="0.25">
      <c r="A6" t="s">
        <v>15</v>
      </c>
      <c r="B6" t="s">
        <v>16</v>
      </c>
      <c r="C6" t="s">
        <v>19</v>
      </c>
      <c r="D6">
        <v>911820</v>
      </c>
      <c r="E6" t="s">
        <v>13</v>
      </c>
      <c r="F6">
        <v>21.317</v>
      </c>
      <c r="G6">
        <v>-157.93299999999999</v>
      </c>
      <c r="H6">
        <v>-10</v>
      </c>
      <c r="I6">
        <v>2</v>
      </c>
      <c r="J6" t="str">
        <f>HYPERLINK("https://climate.onebuilding.org/WMO_Region_5_Southwest_Pacific/USA_United_States_of_America/HI_Hawaii/USA_HI_Honolulu.Intl.AP.911820_TMY3.zip")</f>
        <v>https://climate.onebuilding.org/WMO_Region_5_Southwest_Pacific/USA_United_States_of_America/HI_Hawaii/USA_HI_Honolulu.Intl.AP.911820_TMY3.zip</v>
      </c>
    </row>
    <row r="7" spans="1:10" x14ac:dyDescent="0.25">
      <c r="A7" t="s">
        <v>15</v>
      </c>
      <c r="B7" t="s">
        <v>16</v>
      </c>
      <c r="C7" t="s">
        <v>20</v>
      </c>
      <c r="D7">
        <v>911900</v>
      </c>
      <c r="E7" t="s">
        <v>13</v>
      </c>
      <c r="F7">
        <v>20.9</v>
      </c>
      <c r="G7">
        <v>-156.43299999999999</v>
      </c>
      <c r="H7">
        <v>-10</v>
      </c>
      <c r="I7">
        <v>16</v>
      </c>
      <c r="J7" t="str">
        <f>HYPERLINK("https://climate.onebuilding.org/WMO_Region_5_Southwest_Pacific/USA_United_States_of_America/HI_Hawaii/USA_HI_Kahului.AP.911900_TMY3.zip")</f>
        <v>https://climate.onebuilding.org/WMO_Region_5_Southwest_Pacific/USA_United_States_of_America/HI_Hawaii/USA_HI_Kahului.AP.911900_TMY3.zip</v>
      </c>
    </row>
    <row r="8" spans="1:10" x14ac:dyDescent="0.25">
      <c r="A8" t="s">
        <v>15</v>
      </c>
      <c r="B8" t="s">
        <v>16</v>
      </c>
      <c r="C8" t="s">
        <v>21</v>
      </c>
      <c r="D8">
        <v>911760</v>
      </c>
      <c r="E8" t="s">
        <v>13</v>
      </c>
      <c r="F8">
        <v>21.45</v>
      </c>
      <c r="G8">
        <v>-157.78299999999999</v>
      </c>
      <c r="H8">
        <v>-10</v>
      </c>
      <c r="I8">
        <v>3</v>
      </c>
      <c r="J8" t="str">
        <f>HYPERLINK("https://climate.onebuilding.org/WMO_Region_5_Southwest_Pacific/USA_United_States_of_America/HI_Hawaii/USA_HI_MCB.Hawaii-Kaneohe.Bay.911760_TMY3.zip")</f>
        <v>https://climate.onebuilding.org/WMO_Region_5_Southwest_Pacific/USA_United_States_of_America/HI_Hawaii/USA_HI_MCB.Hawaii-Kaneohe.Bay.911760_TMY3.zip</v>
      </c>
    </row>
    <row r="9" spans="1:10" x14ac:dyDescent="0.25">
      <c r="A9" t="s">
        <v>15</v>
      </c>
      <c r="B9" t="s">
        <v>16</v>
      </c>
      <c r="C9" t="s">
        <v>22</v>
      </c>
      <c r="D9">
        <v>911904</v>
      </c>
      <c r="E9" t="s">
        <v>13</v>
      </c>
      <c r="F9">
        <v>20.962</v>
      </c>
      <c r="G9">
        <v>-156.67400000000001</v>
      </c>
      <c r="H9">
        <v>-10</v>
      </c>
      <c r="I9">
        <v>80</v>
      </c>
      <c r="J9" t="str">
        <f>HYPERLINK("https://climate.onebuilding.org/WMO_Region_5_Southwest_Pacific/USA_United_States_of_America/HI_Hawaii/USA_HI_Kapalua-West.Maui.AP.911904_TMY3.zip")</f>
        <v>https://climate.onebuilding.org/WMO_Region_5_Southwest_Pacific/USA_United_States_of_America/HI_Hawaii/USA_HI_Kapalua-West.Maui.AP.911904_TMY3.zip</v>
      </c>
    </row>
    <row r="10" spans="1:10" x14ac:dyDescent="0.25">
      <c r="A10" t="s">
        <v>15</v>
      </c>
      <c r="B10" t="s">
        <v>16</v>
      </c>
      <c r="C10" t="s">
        <v>23</v>
      </c>
      <c r="D10">
        <v>911975</v>
      </c>
      <c r="E10" t="s">
        <v>13</v>
      </c>
      <c r="F10">
        <v>19.733000000000001</v>
      </c>
      <c r="G10">
        <v>-156.05000000000001</v>
      </c>
      <c r="H10">
        <v>-10</v>
      </c>
      <c r="I10">
        <v>15</v>
      </c>
      <c r="J10" t="str">
        <f>HYPERLINK("https://climate.onebuilding.org/WMO_Region_5_Southwest_Pacific/USA_United_States_of_America/HI_Hawaii/USA_HI_Keahole-Kona.Intl.AP.911975_TMY3.zip")</f>
        <v>https://climate.onebuilding.org/WMO_Region_5_Southwest_Pacific/USA_United_States_of_America/HI_Hawaii/USA_HI_Keahole-Kona.Intl.AP.911975_TMY3.zip</v>
      </c>
    </row>
    <row r="11" spans="1:10" x14ac:dyDescent="0.25">
      <c r="A11" t="s">
        <v>15</v>
      </c>
      <c r="B11" t="s">
        <v>16</v>
      </c>
      <c r="C11" t="s">
        <v>24</v>
      </c>
      <c r="D11">
        <v>911905</v>
      </c>
      <c r="E11" t="s">
        <v>13</v>
      </c>
      <c r="F11">
        <v>20.783000000000001</v>
      </c>
      <c r="G11">
        <v>-156.94999999999999</v>
      </c>
      <c r="H11">
        <v>-10</v>
      </c>
      <c r="I11">
        <v>409</v>
      </c>
      <c r="J11" t="str">
        <f>HYPERLINK("https://climate.onebuilding.org/WMO_Region_5_Southwest_Pacific/USA_United_States_of_America/HI_Hawaii/USA_HI_Lanai.AP.911905_TMY3.zip")</f>
        <v>https://climate.onebuilding.org/WMO_Region_5_Southwest_Pacific/USA_United_States_of_America/HI_Hawaii/USA_HI_Lanai.AP.911905_TMY3.zip</v>
      </c>
    </row>
    <row r="12" spans="1:10" x14ac:dyDescent="0.25">
      <c r="A12" t="s">
        <v>15</v>
      </c>
      <c r="B12" t="s">
        <v>16</v>
      </c>
      <c r="C12" t="s">
        <v>25</v>
      </c>
      <c r="D12">
        <v>911650</v>
      </c>
      <c r="E12" t="s">
        <v>13</v>
      </c>
      <c r="F12">
        <v>21.983000000000001</v>
      </c>
      <c r="G12">
        <v>-159.333</v>
      </c>
      <c r="H12">
        <v>-10</v>
      </c>
      <c r="I12">
        <v>31</v>
      </c>
      <c r="J12" t="str">
        <f>HYPERLINK("https://climate.onebuilding.org/WMO_Region_5_Southwest_Pacific/USA_United_States_of_America/HI_Hawaii/USA_HI_Lihue.AP.911650_TMY3.zip")</f>
        <v>https://climate.onebuilding.org/WMO_Region_5_Southwest_Pacific/USA_United_States_of_America/HI_Hawaii/USA_HI_Lihue.AP.911650_TMY3.zip</v>
      </c>
    </row>
    <row r="13" spans="1:10" x14ac:dyDescent="0.25">
      <c r="A13" t="s">
        <v>15</v>
      </c>
      <c r="B13" t="s">
        <v>16</v>
      </c>
      <c r="C13" t="s">
        <v>26</v>
      </c>
      <c r="D13">
        <v>911860</v>
      </c>
      <c r="E13" t="s">
        <v>13</v>
      </c>
      <c r="F13">
        <v>21.15</v>
      </c>
      <c r="G13">
        <v>-157.1</v>
      </c>
      <c r="H13">
        <v>-10</v>
      </c>
      <c r="I13">
        <v>137</v>
      </c>
      <c r="J13" t="str">
        <f>HYPERLINK("https://climate.onebuilding.org/WMO_Region_5_Southwest_Pacific/USA_United_States_of_America/HI_Hawaii/USA_HI_Molokai.AP.911860_TMY3.zip")</f>
        <v>https://climate.onebuilding.org/WMO_Region_5_Southwest_Pacific/USA_United_States_of_America/HI_Hawaii/USA_HI_Molokai.AP.911860_TMY3.zip</v>
      </c>
    </row>
    <row r="14" spans="1:10" x14ac:dyDescent="0.25">
      <c r="A14" t="s">
        <v>27</v>
      </c>
      <c r="B14" t="s">
        <v>28</v>
      </c>
      <c r="C14" t="s">
        <v>29</v>
      </c>
      <c r="D14">
        <v>785140</v>
      </c>
      <c r="E14" t="s">
        <v>13</v>
      </c>
      <c r="F14">
        <v>18.5</v>
      </c>
      <c r="G14">
        <v>-67.132999999999996</v>
      </c>
      <c r="H14">
        <v>-4</v>
      </c>
      <c r="I14">
        <v>72</v>
      </c>
      <c r="J14" t="str">
        <f>HYPERLINK("https://climate.onebuilding.org/WMO_Region_4_North_and_Central_America/PRI_Puerto_Rico/AL_Aguadilla/PRI_AL_Aguadilla-Hernandez.AP-CGAS.Borinquen.785140_TMY3.zip")</f>
        <v>https://climate.onebuilding.org/WMO_Region_4_North_and_Central_America/PRI_Puerto_Rico/AL_Aguadilla/PRI_AL_Aguadilla-Hernandez.AP-CGAS.Borinquen.785140_TMY3.zip</v>
      </c>
    </row>
    <row r="15" spans="1:10" x14ac:dyDescent="0.25">
      <c r="A15" t="s">
        <v>27</v>
      </c>
      <c r="B15" t="s">
        <v>30</v>
      </c>
      <c r="C15" t="s">
        <v>31</v>
      </c>
      <c r="D15">
        <v>785145</v>
      </c>
      <c r="E15" t="s">
        <v>13</v>
      </c>
      <c r="F15">
        <v>18.25</v>
      </c>
      <c r="G15">
        <v>-67.150000000000006</v>
      </c>
      <c r="H15">
        <v>-4</v>
      </c>
      <c r="I15">
        <v>9</v>
      </c>
      <c r="J15" t="str">
        <f>HYPERLINK("https://climate.onebuilding.org/WMO_Region_4_North_and_Central_America/PRI_Puerto_Rico/MG_Mayaguez/PRI_MG_Mayaguez-de.Hostos.AP.785145_TMY3.zip")</f>
        <v>https://climate.onebuilding.org/WMO_Region_4_North_and_Central_America/PRI_Puerto_Rico/MG_Mayaguez/PRI_MG_Mayaguez-de.Hostos.AP.785145_TMY3.zip</v>
      </c>
    </row>
    <row r="16" spans="1:10" x14ac:dyDescent="0.25">
      <c r="A16" t="s">
        <v>27</v>
      </c>
      <c r="B16" t="s">
        <v>32</v>
      </c>
      <c r="C16" t="s">
        <v>33</v>
      </c>
      <c r="D16">
        <v>785203</v>
      </c>
      <c r="E16" t="s">
        <v>13</v>
      </c>
      <c r="F16">
        <v>18</v>
      </c>
      <c r="G16">
        <v>-66.55</v>
      </c>
      <c r="H16">
        <v>-4</v>
      </c>
      <c r="I16">
        <v>8</v>
      </c>
      <c r="J16" t="str">
        <f>HYPERLINK("https://climate.onebuilding.org/WMO_Region_4_North_and_Central_America/PRI_Puerto_Rico/PO_Ponce/PRI_PO_Ponce-Mercedita.AP.785203_TMY3.zip")</f>
        <v>https://climate.onebuilding.org/WMO_Region_4_North_and_Central_America/PRI_Puerto_Rico/PO_Ponce/PRI_PO_Ponce-Mercedita.AP.785203_TMY3.zip</v>
      </c>
    </row>
    <row r="17" spans="1:10" x14ac:dyDescent="0.25">
      <c r="A17" t="s">
        <v>27</v>
      </c>
      <c r="B17" t="s">
        <v>34</v>
      </c>
      <c r="C17" t="s">
        <v>35</v>
      </c>
      <c r="D17">
        <v>785350</v>
      </c>
      <c r="E17" t="s">
        <v>13</v>
      </c>
      <c r="F17">
        <v>18.25</v>
      </c>
      <c r="G17">
        <v>-65.632999999999996</v>
      </c>
      <c r="H17">
        <v>-4</v>
      </c>
      <c r="I17">
        <v>12</v>
      </c>
      <c r="J17" t="str">
        <f>HYPERLINK("https://climate.onebuilding.org/WMO_Region_4_North_and_Central_America/PRI_Puerto_Rico/CB_Ceiba/PRI_CB_Aguas.Claras-NS.Roosevelt.Roads.785350_TMY3.zip")</f>
        <v>https://climate.onebuilding.org/WMO_Region_4_North_and_Central_America/PRI_Puerto_Rico/CB_Ceiba/PRI_CB_Aguas.Claras-NS.Roosevelt.Roads.785350_TMY3.zip</v>
      </c>
    </row>
    <row r="18" spans="1:10" x14ac:dyDescent="0.25">
      <c r="A18" t="s">
        <v>27</v>
      </c>
      <c r="B18" t="s">
        <v>36</v>
      </c>
      <c r="C18" t="s">
        <v>37</v>
      </c>
      <c r="D18">
        <v>785263</v>
      </c>
      <c r="E18" t="s">
        <v>13</v>
      </c>
      <c r="F18">
        <v>18.433</v>
      </c>
      <c r="G18">
        <v>-66</v>
      </c>
      <c r="H18">
        <v>-4</v>
      </c>
      <c r="I18">
        <v>3</v>
      </c>
      <c r="J18" t="str">
        <f>HYPERLINK("https://climate.onebuilding.org/WMO_Region_4_North_and_Central_America/PRI_Puerto_Rico/CN_Carolina/PRI_CN_San.Juan-Marin.Intl.AP.785263_TMY3.zip")</f>
        <v>https://climate.onebuilding.org/WMO_Region_4_North_and_Central_America/PRI_Puerto_Rico/CN_Carolina/PRI_CN_San.Juan-Marin.Intl.AP.785263_TMY3.zip</v>
      </c>
    </row>
    <row r="19" spans="1:10" x14ac:dyDescent="0.25">
      <c r="A19" t="s">
        <v>27</v>
      </c>
      <c r="B19" t="s">
        <v>36</v>
      </c>
      <c r="C19" t="s">
        <v>37</v>
      </c>
      <c r="D19">
        <v>785260</v>
      </c>
      <c r="E19" t="s">
        <v>13</v>
      </c>
      <c r="F19">
        <v>18.417000000000002</v>
      </c>
      <c r="G19">
        <v>-66</v>
      </c>
      <c r="H19">
        <v>-4</v>
      </c>
      <c r="I19">
        <v>19</v>
      </c>
      <c r="J19" t="str">
        <f>HYPERLINK("https://climate.onebuilding.org/WMO_Region_4_North_and_Central_America/PRI_Puerto_Rico/CN_Carolina/PRI_CN_San.Juan-Marin.Intl.AP.785260_TMY3.zip")</f>
        <v>https://climate.onebuilding.org/WMO_Region_4_North_and_Central_America/PRI_Puerto_Rico/CN_Carolina/PRI_CN_San.Juan-Marin.Intl.AP.785260_TMY3.zip</v>
      </c>
    </row>
    <row r="20" spans="1:10" x14ac:dyDescent="0.25">
      <c r="A20" t="s">
        <v>38</v>
      </c>
      <c r="B20" t="s">
        <v>39</v>
      </c>
      <c r="C20" t="s">
        <v>40</v>
      </c>
      <c r="D20">
        <v>785430</v>
      </c>
      <c r="E20" t="s">
        <v>13</v>
      </c>
      <c r="F20">
        <v>18.338000000000001</v>
      </c>
      <c r="G20">
        <v>-64.966999999999999</v>
      </c>
      <c r="H20">
        <v>-4</v>
      </c>
      <c r="I20">
        <v>6</v>
      </c>
      <c r="J20" t="str">
        <f>HYPERLINK("https://climate.onebuilding.org/WMO_Region_4_North_and_Central_America/VIR_U_S_Virgin_Islands/VIR_ST_St.Thomas-Charlotte.Amalie-King.Intl.AP.785430_TMY3.zip")</f>
        <v>https://climate.onebuilding.org/WMO_Region_4_North_and_Central_America/VIR_U_S_Virgin_Islands/VIR_ST_St.Thomas-Charlotte.Amalie-King.Intl.AP.785430_TMY3.zip</v>
      </c>
    </row>
    <row r="21" spans="1:10" x14ac:dyDescent="0.25">
      <c r="A21" t="s">
        <v>15</v>
      </c>
      <c r="B21" t="s">
        <v>41</v>
      </c>
      <c r="C21" t="s">
        <v>42</v>
      </c>
      <c r="D21">
        <v>704540</v>
      </c>
      <c r="E21" t="s">
        <v>13</v>
      </c>
      <c r="F21">
        <v>51.883000000000003</v>
      </c>
      <c r="G21">
        <v>-176.65</v>
      </c>
      <c r="H21">
        <v>-10</v>
      </c>
      <c r="I21">
        <v>5</v>
      </c>
      <c r="J21" t="str">
        <f>HYPERLINK("https://climate.onebuilding.org/WMO_Region_4_North_and_Central_America/USA_United_States_of_America/AK_Alaska/USA_AK_Adak.AP.704540_TMY3.zip")</f>
        <v>https://climate.onebuilding.org/WMO_Region_4_North_and_Central_America/USA_United_States_of_America/AK_Alaska/USA_AK_Adak.AP.704540_TMY3.zip</v>
      </c>
    </row>
    <row r="22" spans="1:10" x14ac:dyDescent="0.25">
      <c r="A22" t="s">
        <v>15</v>
      </c>
      <c r="B22" t="s">
        <v>41</v>
      </c>
      <c r="C22" t="s">
        <v>43</v>
      </c>
      <c r="D22">
        <v>701718</v>
      </c>
      <c r="E22" t="s">
        <v>13</v>
      </c>
      <c r="F22">
        <v>67.099999999999994</v>
      </c>
      <c r="G22">
        <v>-157.85</v>
      </c>
      <c r="H22">
        <v>-9</v>
      </c>
      <c r="I22">
        <v>88</v>
      </c>
      <c r="J22" t="str">
        <f>HYPERLINK("https://climate.onebuilding.org/WMO_Region_4_North_and_Central_America/USA_United_States_of_America/AK_Alaska/USA_AK_Ambler.AP.701718_TMY3.zip")</f>
        <v>https://climate.onebuilding.org/WMO_Region_4_North_and_Central_America/USA_United_States_of_America/AK_Alaska/USA_AK_Ambler.AP.701718_TMY3.zip</v>
      </c>
    </row>
    <row r="23" spans="1:10" x14ac:dyDescent="0.25">
      <c r="A23" t="s">
        <v>15</v>
      </c>
      <c r="B23" t="s">
        <v>41</v>
      </c>
      <c r="C23" t="s">
        <v>44</v>
      </c>
      <c r="D23">
        <v>701625</v>
      </c>
      <c r="E23" t="s">
        <v>13</v>
      </c>
      <c r="F23">
        <v>68.132999999999996</v>
      </c>
      <c r="G23">
        <v>-151.733</v>
      </c>
      <c r="H23">
        <v>-9</v>
      </c>
      <c r="I23">
        <v>657</v>
      </c>
      <c r="J23" t="str">
        <f>HYPERLINK("https://climate.onebuilding.org/WMO_Region_4_North_and_Central_America/USA_United_States_of_America/AK_Alaska/USA_AK_Anaktuvuk.Pass.AP.701625_TMY3.zip")</f>
        <v>https://climate.onebuilding.org/WMO_Region_4_North_and_Central_America/USA_United_States_of_America/AK_Alaska/USA_AK_Anaktuvuk.Pass.AP.701625_TMY3.zip</v>
      </c>
    </row>
    <row r="24" spans="1:10" x14ac:dyDescent="0.25">
      <c r="A24" t="s">
        <v>15</v>
      </c>
      <c r="B24" t="s">
        <v>41</v>
      </c>
      <c r="C24" t="s">
        <v>45</v>
      </c>
      <c r="D24">
        <v>702720</v>
      </c>
      <c r="E24" t="s">
        <v>13</v>
      </c>
      <c r="F24">
        <v>61.25</v>
      </c>
      <c r="G24">
        <v>-149.80000000000001</v>
      </c>
      <c r="H24">
        <v>-9</v>
      </c>
      <c r="I24">
        <v>59</v>
      </c>
      <c r="J24" t="str">
        <f>HYPERLINK("https://climate.onebuilding.org/WMO_Region_4_North_and_Central_America/USA_United_States_of_America/AK_Alaska/USA_AK_Anchorage-JB.Elmendorf-Richardson.702720_TMY3.zip")</f>
        <v>https://climate.onebuilding.org/WMO_Region_4_North_and_Central_America/USA_United_States_of_America/AK_Alaska/USA_AK_Anchorage-JB.Elmendorf-Richardson.702720_TMY3.zip</v>
      </c>
    </row>
    <row r="25" spans="1:10" x14ac:dyDescent="0.25">
      <c r="A25" t="s">
        <v>15</v>
      </c>
      <c r="B25" t="s">
        <v>41</v>
      </c>
      <c r="C25" t="s">
        <v>46</v>
      </c>
      <c r="D25">
        <v>702725</v>
      </c>
      <c r="E25" t="s">
        <v>13</v>
      </c>
      <c r="F25">
        <v>61.183</v>
      </c>
      <c r="G25">
        <v>-149.96700000000001</v>
      </c>
      <c r="H25">
        <v>-9</v>
      </c>
      <c r="I25">
        <v>22</v>
      </c>
      <c r="J25" t="str">
        <f>HYPERLINK("https://climate.onebuilding.org/WMO_Region_4_North_and_Central_America/USA_United_States_of_America/AK_Alaska/USA_AK_Anchorage-Lake.Hood.Seaplane.Base.702725_TMY3.zip")</f>
        <v>https://climate.onebuilding.org/WMO_Region_4_North_and_Central_America/USA_United_States_of_America/AK_Alaska/USA_AK_Anchorage-Lake.Hood.Seaplane.Base.702725_TMY3.zip</v>
      </c>
    </row>
    <row r="26" spans="1:10" x14ac:dyDescent="0.25">
      <c r="A26" t="s">
        <v>15</v>
      </c>
      <c r="B26" t="s">
        <v>41</v>
      </c>
      <c r="C26" t="s">
        <v>47</v>
      </c>
      <c r="D26">
        <v>702735</v>
      </c>
      <c r="E26" t="s">
        <v>13</v>
      </c>
      <c r="F26">
        <v>61.216999999999999</v>
      </c>
      <c r="G26">
        <v>-149.85</v>
      </c>
      <c r="H26">
        <v>-9</v>
      </c>
      <c r="I26">
        <v>42</v>
      </c>
      <c r="J26" t="str">
        <f>HYPERLINK("https://climate.onebuilding.org/WMO_Region_4_North_and_Central_America/USA_United_States_of_America/AK_Alaska/USA_AK_Anchorage-Merrill.Field.702735_TMY3.zip")</f>
        <v>https://climate.onebuilding.org/WMO_Region_4_North_and_Central_America/USA_United_States_of_America/AK_Alaska/USA_AK_Anchorage-Merrill.Field.702735_TMY3.zip</v>
      </c>
    </row>
    <row r="27" spans="1:10" x14ac:dyDescent="0.25">
      <c r="A27" t="s">
        <v>15</v>
      </c>
      <c r="B27" t="s">
        <v>41</v>
      </c>
      <c r="C27" t="s">
        <v>48</v>
      </c>
      <c r="D27">
        <v>702730</v>
      </c>
      <c r="E27" t="s">
        <v>13</v>
      </c>
      <c r="F27">
        <v>61.183</v>
      </c>
      <c r="G27">
        <v>-150</v>
      </c>
      <c r="H27">
        <v>-9</v>
      </c>
      <c r="I27">
        <v>35</v>
      </c>
      <c r="J27" t="str">
        <f>HYPERLINK("https://climate.onebuilding.org/WMO_Region_4_North_and_Central_America/USA_United_States_of_America/AK_Alaska/USA_AK_Anchorage.Stevens.Intl.AP.702730_TMY3.zip")</f>
        <v>https://climate.onebuilding.org/WMO_Region_4_North_and_Central_America/USA_United_States_of_America/AK_Alaska/USA_AK_Anchorage.Stevens.Intl.AP.702730_TMY3.zip</v>
      </c>
    </row>
    <row r="28" spans="1:10" x14ac:dyDescent="0.25">
      <c r="A28" t="s">
        <v>15</v>
      </c>
      <c r="B28" t="s">
        <v>41</v>
      </c>
      <c r="C28" t="s">
        <v>49</v>
      </c>
      <c r="D28">
        <v>702320</v>
      </c>
      <c r="E28" t="s">
        <v>13</v>
      </c>
      <c r="F28">
        <v>61.582999999999998</v>
      </c>
      <c r="G28">
        <v>-159.53299999999999</v>
      </c>
      <c r="H28">
        <v>-9</v>
      </c>
      <c r="I28">
        <v>26</v>
      </c>
      <c r="J28" t="str">
        <f>HYPERLINK("https://climate.onebuilding.org/WMO_Region_4_North_and_Central_America/USA_United_States_of_America/AK_Alaska/USA_AK_Aniak.AP.702320_TMY3.zip")</f>
        <v>https://climate.onebuilding.org/WMO_Region_4_North_and_Central_America/USA_United_States_of_America/AK_Alaska/USA_AK_Aniak.AP.702320_TMY3.zip</v>
      </c>
    </row>
    <row r="29" spans="1:10" x14ac:dyDescent="0.25">
      <c r="A29" t="s">
        <v>15</v>
      </c>
      <c r="B29" t="s">
        <v>41</v>
      </c>
      <c r="C29" t="s">
        <v>50</v>
      </c>
      <c r="D29">
        <v>703980</v>
      </c>
      <c r="E29" t="s">
        <v>13</v>
      </c>
      <c r="F29">
        <v>55.05</v>
      </c>
      <c r="G29">
        <v>-131.56700000000001</v>
      </c>
      <c r="H29">
        <v>-9</v>
      </c>
      <c r="I29">
        <v>33</v>
      </c>
      <c r="J29" t="str">
        <f>HYPERLINK("https://climate.onebuilding.org/WMO_Region_4_North_and_Central_America/USA_United_States_of_America/AK_Alaska/USA_AK_Annette.Island.AP.703980_TMY3.zip")</f>
        <v>https://climate.onebuilding.org/WMO_Region_4_North_and_Central_America/USA_United_States_of_America/AK_Alaska/USA_AK_Annette.Island.AP.703980_TMY3.zip</v>
      </c>
    </row>
    <row r="30" spans="1:10" x14ac:dyDescent="0.25">
      <c r="A30" t="s">
        <v>15</v>
      </c>
      <c r="B30" t="s">
        <v>41</v>
      </c>
      <c r="C30" t="s">
        <v>51</v>
      </c>
      <c r="D30">
        <v>702075</v>
      </c>
      <c r="E30" t="s">
        <v>13</v>
      </c>
      <c r="F30">
        <v>62.65</v>
      </c>
      <c r="G30">
        <v>-160.18299999999999</v>
      </c>
      <c r="H30">
        <v>-9</v>
      </c>
      <c r="I30">
        <v>99</v>
      </c>
      <c r="J30" t="str">
        <f>HYPERLINK("https://climate.onebuilding.org/WMO_Region_4_North_and_Central_America/USA_United_States_of_America/AK_Alaska/USA_AK_Anvik.702075_TMY3.zip")</f>
        <v>https://climate.onebuilding.org/WMO_Region_4_North_and_Central_America/USA_United_States_of_America/AK_Alaska/USA_AK_Anvik.702075_TMY3.zip</v>
      </c>
    </row>
    <row r="31" spans="1:10" x14ac:dyDescent="0.25">
      <c r="A31" t="s">
        <v>15</v>
      </c>
      <c r="B31" t="s">
        <v>41</v>
      </c>
      <c r="C31" t="s">
        <v>52</v>
      </c>
      <c r="D31">
        <v>700260</v>
      </c>
      <c r="E31" t="s">
        <v>13</v>
      </c>
      <c r="F31">
        <v>71.286000000000001</v>
      </c>
      <c r="G31">
        <v>-156.767</v>
      </c>
      <c r="H31">
        <v>-9</v>
      </c>
      <c r="I31">
        <v>10</v>
      </c>
      <c r="J31" t="str">
        <f>HYPERLINK("https://climate.onebuilding.org/WMO_Region_4_North_and_Central_America/USA_United_States_of_America/AK_Alaska/USA_AK_Barrow-Post-Rogers.Meml.AP.700260_TMY3.zip")</f>
        <v>https://climate.onebuilding.org/WMO_Region_4_North_and_Central_America/USA_United_States_of_America/AK_Alaska/USA_AK_Barrow-Post-Rogers.Meml.AP.700260_TMY3.zip</v>
      </c>
    </row>
    <row r="32" spans="1:10" x14ac:dyDescent="0.25">
      <c r="A32" t="s">
        <v>15</v>
      </c>
      <c r="B32" t="s">
        <v>41</v>
      </c>
      <c r="C32" t="s">
        <v>53</v>
      </c>
      <c r="D32">
        <v>702190</v>
      </c>
      <c r="E32" t="s">
        <v>13</v>
      </c>
      <c r="F32">
        <v>60.783000000000001</v>
      </c>
      <c r="G32">
        <v>-161.833</v>
      </c>
      <c r="H32">
        <v>-9</v>
      </c>
      <c r="I32">
        <v>38</v>
      </c>
      <c r="J32" t="str">
        <f>HYPERLINK("https://climate.onebuilding.org/WMO_Region_4_North_and_Central_America/USA_United_States_of_America/AK_Alaska/USA_AK_Bethel.AP.702190_TMY3.zip")</f>
        <v>https://climate.onebuilding.org/WMO_Region_4_North_and_Central_America/USA_United_States_of_America/AK_Alaska/USA_AK_Bethel.AP.702190_TMY3.zip</v>
      </c>
    </row>
    <row r="33" spans="1:10" x14ac:dyDescent="0.25">
      <c r="A33" t="s">
        <v>15</v>
      </c>
      <c r="B33" t="s">
        <v>41</v>
      </c>
      <c r="C33" t="s">
        <v>54</v>
      </c>
      <c r="D33">
        <v>701740</v>
      </c>
      <c r="E33" t="s">
        <v>13</v>
      </c>
      <c r="F33">
        <v>66.917000000000002</v>
      </c>
      <c r="G33">
        <v>-151.517</v>
      </c>
      <c r="H33">
        <v>-9</v>
      </c>
      <c r="I33">
        <v>196</v>
      </c>
      <c r="J33" t="str">
        <f>HYPERLINK("https://climate.onebuilding.org/WMO_Region_4_North_and_Central_America/USA_United_States_of_America/AK_Alaska/USA_AK_Bettles.AP.701740_TMY3.zip")</f>
        <v>https://climate.onebuilding.org/WMO_Region_4_North_and_Central_America/USA_United_States_of_America/AK_Alaska/USA_AK_Bettles.AP.701740_TMY3.zip</v>
      </c>
    </row>
    <row r="34" spans="1:10" x14ac:dyDescent="0.25">
      <c r="A34" t="s">
        <v>15</v>
      </c>
      <c r="B34" t="s">
        <v>41</v>
      </c>
      <c r="C34" t="s">
        <v>55</v>
      </c>
      <c r="D34">
        <v>702670</v>
      </c>
      <c r="E34" t="s">
        <v>13</v>
      </c>
      <c r="F34">
        <v>64</v>
      </c>
      <c r="G34">
        <v>-145.71700000000001</v>
      </c>
      <c r="H34">
        <v>-9</v>
      </c>
      <c r="I34">
        <v>386</v>
      </c>
      <c r="J34" t="str">
        <f>HYPERLINK("https://climate.onebuilding.org/WMO_Region_4_North_and_Central_America/USA_United_States_of_America/AK_Alaska/USA_AK_Big.Delta-Fort.Greely-Allen.AAF.702670_TMY3.zip")</f>
        <v>https://climate.onebuilding.org/WMO_Region_4_North_and_Central_America/USA_United_States_of_America/AK_Alaska/USA_AK_Big.Delta-Fort.Greely-Allen.AAF.702670_TMY3.zip</v>
      </c>
    </row>
    <row r="35" spans="1:10" x14ac:dyDescent="0.25">
      <c r="A35" t="s">
        <v>15</v>
      </c>
      <c r="B35" t="s">
        <v>41</v>
      </c>
      <c r="C35" t="s">
        <v>56</v>
      </c>
      <c r="D35">
        <v>702986</v>
      </c>
      <c r="E35" t="s">
        <v>13</v>
      </c>
      <c r="F35">
        <v>60.817</v>
      </c>
      <c r="G35">
        <v>-152.30000000000001</v>
      </c>
      <c r="H35">
        <v>-9</v>
      </c>
      <c r="I35">
        <v>12</v>
      </c>
      <c r="J35" t="str">
        <f>HYPERLINK("https://climate.onebuilding.org/WMO_Region_4_North_and_Central_America/USA_United_States_of_America/AK_Alaska/USA_AK_Big.River.Lake.702986_TMY3.zip")</f>
        <v>https://climate.onebuilding.org/WMO_Region_4_North_and_Central_America/USA_United_States_of_America/AK_Alaska/USA_AK_Big.River.Lake.702986_TMY3.zip</v>
      </c>
    </row>
    <row r="36" spans="1:10" x14ac:dyDescent="0.25">
      <c r="A36" t="s">
        <v>15</v>
      </c>
      <c r="B36" t="s">
        <v>41</v>
      </c>
      <c r="C36" t="s">
        <v>57</v>
      </c>
      <c r="D36">
        <v>702746</v>
      </c>
      <c r="E36" t="s">
        <v>13</v>
      </c>
      <c r="F36">
        <v>61.417000000000002</v>
      </c>
      <c r="G36">
        <v>-149.50700000000001</v>
      </c>
      <c r="H36">
        <v>-9</v>
      </c>
      <c r="I36">
        <v>30</v>
      </c>
      <c r="J36" t="str">
        <f>HYPERLINK("https://climate.onebuilding.org/WMO_Region_4_North_and_Central_America/USA_United_States_of_America/AK_Alaska/USA_AK_Birchwood.AP.702746_TMY3.zip")</f>
        <v>https://climate.onebuilding.org/WMO_Region_4_North_and_Central_America/USA_United_States_of_America/AK_Alaska/USA_AK_Birchwood.AP.702746_TMY3.zip</v>
      </c>
    </row>
    <row r="37" spans="1:10" x14ac:dyDescent="0.25">
      <c r="A37" t="s">
        <v>15</v>
      </c>
      <c r="B37" t="s">
        <v>41</v>
      </c>
      <c r="C37" t="s">
        <v>58</v>
      </c>
      <c r="D37">
        <v>702606</v>
      </c>
      <c r="E37" t="s">
        <v>13</v>
      </c>
      <c r="F37">
        <v>62.883000000000003</v>
      </c>
      <c r="G37">
        <v>-149.833</v>
      </c>
      <c r="H37">
        <v>-9</v>
      </c>
      <c r="I37">
        <v>381</v>
      </c>
      <c r="J37" t="str">
        <f>HYPERLINK("https://climate.onebuilding.org/WMO_Region_4_North_and_Central_America/USA_United_States_of_America/AK_Alaska/USA_AK_Chulitna.702606_TMY3.zip")</f>
        <v>https://climate.onebuilding.org/WMO_Region_4_North_and_Central_America/USA_United_States_of_America/AK_Alaska/USA_AK_Chulitna.702606_TMY3.zip</v>
      </c>
    </row>
    <row r="38" spans="1:10" x14ac:dyDescent="0.25">
      <c r="A38" t="s">
        <v>15</v>
      </c>
      <c r="B38" t="s">
        <v>41</v>
      </c>
      <c r="C38" t="s">
        <v>59</v>
      </c>
      <c r="D38">
        <v>703160</v>
      </c>
      <c r="E38" t="s">
        <v>13</v>
      </c>
      <c r="F38">
        <v>55.2</v>
      </c>
      <c r="G38">
        <v>-162.71700000000001</v>
      </c>
      <c r="H38">
        <v>-9</v>
      </c>
      <c r="I38">
        <v>29</v>
      </c>
      <c r="J38" t="str">
        <f>HYPERLINK("https://climate.onebuilding.org/WMO_Region_4_North_and_Central_America/USA_United_States_of_America/AK_Alaska/USA_AK_Cold.Bay.AP.703160_TMY3.zip")</f>
        <v>https://climate.onebuilding.org/WMO_Region_4_North_and_Central_America/USA_United_States_of_America/AK_Alaska/USA_AK_Cold.Bay.AP.703160_TMY3.zip</v>
      </c>
    </row>
    <row r="39" spans="1:10" x14ac:dyDescent="0.25">
      <c r="A39" t="s">
        <v>15</v>
      </c>
      <c r="B39" t="s">
        <v>41</v>
      </c>
      <c r="C39" t="s">
        <v>60</v>
      </c>
      <c r="D39">
        <v>702960</v>
      </c>
      <c r="E39" t="s">
        <v>13</v>
      </c>
      <c r="F39">
        <v>60.5</v>
      </c>
      <c r="G39">
        <v>-145.5</v>
      </c>
      <c r="H39">
        <v>-9</v>
      </c>
      <c r="I39">
        <v>12</v>
      </c>
      <c r="J39" t="str">
        <f>HYPERLINK("https://climate.onebuilding.org/WMO_Region_4_North_and_Central_America/USA_United_States_of_America/AK_Alaska/USA_AK_Cordova-Smith.AP.702960_TMY3.zip")</f>
        <v>https://climate.onebuilding.org/WMO_Region_4_North_and_Central_America/USA_United_States_of_America/AK_Alaska/USA_AK_Cordova-Smith.AP.702960_TMY3.zip</v>
      </c>
    </row>
    <row r="40" spans="1:10" x14ac:dyDescent="0.25">
      <c r="A40" t="s">
        <v>15</v>
      </c>
      <c r="B40" t="s">
        <v>41</v>
      </c>
      <c r="C40" t="s">
        <v>61</v>
      </c>
      <c r="D40">
        <v>700637</v>
      </c>
      <c r="E40" t="s">
        <v>13</v>
      </c>
      <c r="F40">
        <v>70.2</v>
      </c>
      <c r="G40">
        <v>-148.483</v>
      </c>
      <c r="H40">
        <v>-9</v>
      </c>
      <c r="I40">
        <v>23</v>
      </c>
      <c r="J40" t="str">
        <f>HYPERLINK("https://climate.onebuilding.org/WMO_Region_4_North_and_Central_America/USA_United_States_of_America/AK_Alaska/USA_AK_Deadhorse.AP.700637_TMY3.zip")</f>
        <v>https://climate.onebuilding.org/WMO_Region_4_North_and_Central_America/USA_United_States_of_America/AK_Alaska/USA_AK_Deadhorse.AP.700637_TMY3.zip</v>
      </c>
    </row>
    <row r="41" spans="1:10" x14ac:dyDescent="0.25">
      <c r="A41" t="s">
        <v>15</v>
      </c>
      <c r="B41" t="s">
        <v>41</v>
      </c>
      <c r="C41" t="s">
        <v>62</v>
      </c>
      <c r="D41">
        <v>703210</v>
      </c>
      <c r="E41" t="s">
        <v>13</v>
      </c>
      <c r="F41">
        <v>59.05</v>
      </c>
      <c r="G41">
        <v>-158.517</v>
      </c>
      <c r="H41">
        <v>-9</v>
      </c>
      <c r="I41">
        <v>29</v>
      </c>
      <c r="J41" t="str">
        <f>HYPERLINK("https://climate.onebuilding.org/WMO_Region_4_North_and_Central_America/USA_United_States_of_America/AK_Alaska/USA_AK_Dillingham.AP.703210_TMY3.zip")</f>
        <v>https://climate.onebuilding.org/WMO_Region_4_North_and_Central_America/USA_United_States_of_America/AK_Alaska/USA_AK_Dillingham.AP.703210_TMY3.zip</v>
      </c>
    </row>
    <row r="42" spans="1:10" x14ac:dyDescent="0.25">
      <c r="A42" t="s">
        <v>15</v>
      </c>
      <c r="B42" t="s">
        <v>41</v>
      </c>
      <c r="C42" t="s">
        <v>63</v>
      </c>
      <c r="D42">
        <v>702650</v>
      </c>
      <c r="E42" t="s">
        <v>13</v>
      </c>
      <c r="F42">
        <v>64.650000000000006</v>
      </c>
      <c r="G42">
        <v>-147.1</v>
      </c>
      <c r="H42">
        <v>-9</v>
      </c>
      <c r="I42">
        <v>167</v>
      </c>
      <c r="J42" t="str">
        <f>HYPERLINK("https://climate.onebuilding.org/WMO_Region_4_North_and_Central_America/USA_United_States_of_America/AK_Alaska/USA_AK_Fairbanks-Eielson.AFB.702650_TMY3.zip")</f>
        <v>https://climate.onebuilding.org/WMO_Region_4_North_and_Central_America/USA_United_States_of_America/AK_Alaska/USA_AK_Fairbanks-Eielson.AFB.702650_TMY3.zip</v>
      </c>
    </row>
    <row r="43" spans="1:10" x14ac:dyDescent="0.25">
      <c r="A43" t="s">
        <v>15</v>
      </c>
      <c r="B43" t="s">
        <v>41</v>
      </c>
      <c r="C43" t="s">
        <v>64</v>
      </c>
      <c r="D43">
        <v>702084</v>
      </c>
      <c r="E43" t="s">
        <v>13</v>
      </c>
      <c r="F43">
        <v>62.777000000000001</v>
      </c>
      <c r="G43">
        <v>-164.495</v>
      </c>
      <c r="H43">
        <v>-9</v>
      </c>
      <c r="I43">
        <v>4</v>
      </c>
      <c r="J43" t="str">
        <f>HYPERLINK("https://climate.onebuilding.org/WMO_Region_4_North_and_Central_America/USA_United_States_of_America/AK_Alaska/USA_AK_Emmonak.AP.702084_TMY3.zip")</f>
        <v>https://climate.onebuilding.org/WMO_Region_4_North_and_Central_America/USA_United_States_of_America/AK_Alaska/USA_AK_Emmonak.AP.702084_TMY3.zip</v>
      </c>
    </row>
    <row r="44" spans="1:10" x14ac:dyDescent="0.25">
      <c r="A44" t="s">
        <v>15</v>
      </c>
      <c r="B44" t="s">
        <v>41</v>
      </c>
      <c r="C44" t="s">
        <v>65</v>
      </c>
      <c r="D44">
        <v>702610</v>
      </c>
      <c r="E44" t="s">
        <v>13</v>
      </c>
      <c r="F44">
        <v>64.816999999999993</v>
      </c>
      <c r="G44">
        <v>-147.85</v>
      </c>
      <c r="H44">
        <v>-9</v>
      </c>
      <c r="I44">
        <v>133</v>
      </c>
      <c r="J44" t="str">
        <f>HYPERLINK("https://climate.onebuilding.org/WMO_Region_4_North_and_Central_America/USA_United_States_of_America/AK_Alaska/USA_AK_Fairbanks.Intl.AP.702610_TMY3.zip")</f>
        <v>https://climate.onebuilding.org/WMO_Region_4_North_and_Central_America/USA_United_States_of_America/AK_Alaska/USA_AK_Fairbanks.Intl.AP.702610_TMY3.zip</v>
      </c>
    </row>
    <row r="45" spans="1:10" x14ac:dyDescent="0.25">
      <c r="A45" t="s">
        <v>15</v>
      </c>
      <c r="B45" t="s">
        <v>41</v>
      </c>
      <c r="C45" t="s">
        <v>66</v>
      </c>
      <c r="D45">
        <v>701940</v>
      </c>
      <c r="E45" t="s">
        <v>13</v>
      </c>
      <c r="F45">
        <v>66.566999999999993</v>
      </c>
      <c r="G45">
        <v>-145.267</v>
      </c>
      <c r="H45">
        <v>-9</v>
      </c>
      <c r="I45">
        <v>136</v>
      </c>
      <c r="J45" t="str">
        <f>HYPERLINK("https://climate.onebuilding.org/WMO_Region_4_North_and_Central_America/USA_United_States_of_America/AK_Alaska/USA_AK_Fort.Yukon.AP.701940_TMY3.zip")</f>
        <v>https://climate.onebuilding.org/WMO_Region_4_North_and_Central_America/USA_United_States_of_America/AK_Alaska/USA_AK_Fort.Yukon.AP.701940_TMY3.zip</v>
      </c>
    </row>
    <row r="46" spans="1:10" x14ac:dyDescent="0.25">
      <c r="A46" t="s">
        <v>15</v>
      </c>
      <c r="B46" t="s">
        <v>41</v>
      </c>
      <c r="C46" t="s">
        <v>67</v>
      </c>
      <c r="D46">
        <v>702040</v>
      </c>
      <c r="E46" t="s">
        <v>13</v>
      </c>
      <c r="F46">
        <v>63.783000000000001</v>
      </c>
      <c r="G46">
        <v>-171.75</v>
      </c>
      <c r="H46">
        <v>-9</v>
      </c>
      <c r="I46">
        <v>8</v>
      </c>
      <c r="J46" t="str">
        <f>HYPERLINK("https://climate.onebuilding.org/WMO_Region_4_North_and_Central_America/USA_United_States_of_America/AK_Alaska/USA_AK_Gambell.AP.702040_TMY3.zip")</f>
        <v>https://climate.onebuilding.org/WMO_Region_4_North_and_Central_America/USA_United_States_of_America/AK_Alaska/USA_AK_Gambell.AP.702040_TMY3.zip</v>
      </c>
    </row>
    <row r="47" spans="1:10" x14ac:dyDescent="0.25">
      <c r="A47" t="s">
        <v>15</v>
      </c>
      <c r="B47" t="s">
        <v>41</v>
      </c>
      <c r="C47" t="s">
        <v>68</v>
      </c>
      <c r="D47">
        <v>702710</v>
      </c>
      <c r="E47" t="s">
        <v>13</v>
      </c>
      <c r="F47">
        <v>62.15</v>
      </c>
      <c r="G47">
        <v>-145.44999999999999</v>
      </c>
      <c r="H47">
        <v>-9</v>
      </c>
      <c r="I47">
        <v>478</v>
      </c>
      <c r="J47" t="str">
        <f>HYPERLINK("https://climate.onebuilding.org/WMO_Region_4_North_and_Central_America/USA_United_States_of_America/AK_Alaska/USA_AK_Gulkana.AP.702710_TMY3.zip")</f>
        <v>https://climate.onebuilding.org/WMO_Region_4_North_and_Central_America/USA_United_States_of_America/AK_Alaska/USA_AK_Gulkana.AP.702710_TMY3.zip</v>
      </c>
    </row>
    <row r="48" spans="1:10" x14ac:dyDescent="0.25">
      <c r="A48" t="s">
        <v>15</v>
      </c>
      <c r="B48" t="s">
        <v>41</v>
      </c>
      <c r="C48" t="s">
        <v>69</v>
      </c>
      <c r="D48">
        <v>703670</v>
      </c>
      <c r="E48" t="s">
        <v>13</v>
      </c>
      <c r="F48">
        <v>58.417000000000002</v>
      </c>
      <c r="G48">
        <v>-135.69999999999999</v>
      </c>
      <c r="H48">
        <v>-9</v>
      </c>
      <c r="I48">
        <v>12</v>
      </c>
      <c r="J48" t="str">
        <f>HYPERLINK("https://climate.onebuilding.org/WMO_Region_4_North_and_Central_America/USA_United_States_of_America/AK_Alaska/USA_AK_Gustavus.AP.703670_TMY3.zip")</f>
        <v>https://climate.onebuilding.org/WMO_Region_4_North_and_Central_America/USA_United_States_of_America/AK_Alaska/USA_AK_Gustavus.AP.703670_TMY3.zip</v>
      </c>
    </row>
    <row r="49" spans="1:10" x14ac:dyDescent="0.25">
      <c r="A49" t="s">
        <v>15</v>
      </c>
      <c r="B49" t="s">
        <v>41</v>
      </c>
      <c r="C49" t="s">
        <v>70</v>
      </c>
      <c r="D49">
        <v>702495</v>
      </c>
      <c r="E49" t="s">
        <v>13</v>
      </c>
      <c r="F49">
        <v>61.982999999999997</v>
      </c>
      <c r="G49">
        <v>-152.083</v>
      </c>
      <c r="H49">
        <v>-9</v>
      </c>
      <c r="I49">
        <v>305</v>
      </c>
      <c r="J49" t="str">
        <f>HYPERLINK("https://climate.onebuilding.org/WMO_Region_4_North_and_Central_America/USA_United_States_of_America/AK_Alaska/USA_AK_Hayes.River.702495_TMY3.zip")</f>
        <v>https://climate.onebuilding.org/WMO_Region_4_North_and_Central_America/USA_United_States_of_America/AK_Alaska/USA_AK_Hayes.River.702495_TMY3.zip</v>
      </c>
    </row>
    <row r="50" spans="1:10" x14ac:dyDescent="0.25">
      <c r="A50" t="s">
        <v>15</v>
      </c>
      <c r="B50" t="s">
        <v>41</v>
      </c>
      <c r="C50" t="s">
        <v>71</v>
      </c>
      <c r="D50">
        <v>702647</v>
      </c>
      <c r="E50" t="s">
        <v>13</v>
      </c>
      <c r="F50">
        <v>63.883000000000003</v>
      </c>
      <c r="G50">
        <v>-149.017</v>
      </c>
      <c r="H50">
        <v>-9</v>
      </c>
      <c r="I50">
        <v>396</v>
      </c>
      <c r="J50" t="str">
        <f>HYPERLINK("https://climate.onebuilding.org/WMO_Region_4_North_and_Central_America/USA_United_States_of_America/AK_Alaska/USA_AK_Healy.River.AP.702647_TMY3.zip")</f>
        <v>https://climate.onebuilding.org/WMO_Region_4_North_and_Central_America/USA_United_States_of_America/AK_Alaska/USA_AK_Healy.River.AP.702647_TMY3.zip</v>
      </c>
    </row>
    <row r="51" spans="1:10" x14ac:dyDescent="0.25">
      <c r="A51" t="s">
        <v>15</v>
      </c>
      <c r="B51" t="s">
        <v>41</v>
      </c>
      <c r="C51" t="s">
        <v>72</v>
      </c>
      <c r="D51">
        <v>703410</v>
      </c>
      <c r="E51" t="s">
        <v>13</v>
      </c>
      <c r="F51">
        <v>59.65</v>
      </c>
      <c r="G51">
        <v>-151.483</v>
      </c>
      <c r="H51">
        <v>-9</v>
      </c>
      <c r="I51">
        <v>27</v>
      </c>
      <c r="J51" t="str">
        <f>HYPERLINK("https://climate.onebuilding.org/WMO_Region_4_North_and_Central_America/USA_United_States_of_America/AK_Alaska/USA_AK_Homer.AP.703410_TMY3.zip")</f>
        <v>https://climate.onebuilding.org/WMO_Region_4_North_and_Central_America/USA_United_States_of_America/AK_Alaska/USA_AK_Homer.AP.703410_TMY3.zip</v>
      </c>
    </row>
    <row r="52" spans="1:10" x14ac:dyDescent="0.25">
      <c r="A52" t="s">
        <v>15</v>
      </c>
      <c r="B52" t="s">
        <v>41</v>
      </c>
      <c r="C52" t="s">
        <v>73</v>
      </c>
      <c r="D52">
        <v>702607</v>
      </c>
      <c r="E52" t="s">
        <v>13</v>
      </c>
      <c r="F52">
        <v>58.082999999999998</v>
      </c>
      <c r="G52">
        <v>-135.44999999999999</v>
      </c>
      <c r="H52">
        <v>-9</v>
      </c>
      <c r="I52">
        <v>6</v>
      </c>
      <c r="J52" t="str">
        <f>HYPERLINK("https://climate.onebuilding.org/WMO_Region_4_North_and_Central_America/USA_United_States_of_America/AK_Alaska/USA_AK_Hoonah.AP.702607_TMY3.zip")</f>
        <v>https://climate.onebuilding.org/WMO_Region_4_North_and_Central_America/USA_United_States_of_America/AK_Alaska/USA_AK_Hoonah.AP.702607_TMY3.zip</v>
      </c>
    </row>
    <row r="53" spans="1:10" x14ac:dyDescent="0.25">
      <c r="A53" t="s">
        <v>15</v>
      </c>
      <c r="B53" t="s">
        <v>41</v>
      </c>
      <c r="C53" t="s">
        <v>74</v>
      </c>
      <c r="D53">
        <v>702186</v>
      </c>
      <c r="E53" t="s">
        <v>13</v>
      </c>
      <c r="F53">
        <v>61.521000000000001</v>
      </c>
      <c r="G53">
        <v>-166.14099999999999</v>
      </c>
      <c r="H53">
        <v>-9</v>
      </c>
      <c r="I53">
        <v>6</v>
      </c>
      <c r="J53" t="str">
        <f>HYPERLINK("https://climate.onebuilding.org/WMO_Region_4_North_and_Central_America/USA_United_States_of_America/AK_Alaska/USA_AK_Hooper.Bay.AP.702186_TMY3.zip")</f>
        <v>https://climate.onebuilding.org/WMO_Region_4_North_and_Central_America/USA_United_States_of_America/AK_Alaska/USA_AK_Hooper.Bay.AP.702186_TMY3.zip</v>
      </c>
    </row>
    <row r="54" spans="1:10" x14ac:dyDescent="0.25">
      <c r="A54" t="s">
        <v>15</v>
      </c>
      <c r="B54" t="s">
        <v>41</v>
      </c>
      <c r="C54" t="s">
        <v>75</v>
      </c>
      <c r="D54">
        <v>702225</v>
      </c>
      <c r="E54" t="s">
        <v>13</v>
      </c>
      <c r="F54">
        <v>65.7</v>
      </c>
      <c r="G54">
        <v>-156.38300000000001</v>
      </c>
      <c r="H54">
        <v>-9</v>
      </c>
      <c r="I54">
        <v>55</v>
      </c>
      <c r="J54" t="str">
        <f>HYPERLINK("https://climate.onebuilding.org/WMO_Region_4_North_and_Central_America/USA_United_States_of_America/AK_Alaska/USA_AK_Huslia.AP.702225_TMY3.zip")</f>
        <v>https://climate.onebuilding.org/WMO_Region_4_North_and_Central_America/USA_United_States_of_America/AK_Alaska/USA_AK_Huslia.AP.702225_TMY3.zip</v>
      </c>
    </row>
    <row r="55" spans="1:10" x14ac:dyDescent="0.25">
      <c r="A55" t="s">
        <v>15</v>
      </c>
      <c r="B55" t="s">
        <v>41</v>
      </c>
      <c r="C55" t="s">
        <v>76</v>
      </c>
      <c r="D55">
        <v>703884</v>
      </c>
      <c r="E55" t="s">
        <v>13</v>
      </c>
      <c r="F55">
        <v>55.202500000000001</v>
      </c>
      <c r="G55">
        <v>-132.82300000000001</v>
      </c>
      <c r="H55">
        <v>-9</v>
      </c>
      <c r="I55">
        <v>0</v>
      </c>
      <c r="J55" t="str">
        <f>HYPERLINK("https://climate.onebuilding.org/WMO_Region_4_North_and_Central_America/USA_United_States_of_America/AK_Alaska/USA_AK_Hydaburg.Seaplane.Base.703884_TMY3.zip")</f>
        <v>https://climate.onebuilding.org/WMO_Region_4_North_and_Central_America/USA_United_States_of_America/AK_Alaska/USA_AK_Hydaburg.Seaplane.Base.703884_TMY3.zip</v>
      </c>
    </row>
    <row r="56" spans="1:10" x14ac:dyDescent="0.25">
      <c r="A56" t="s">
        <v>15</v>
      </c>
      <c r="B56" t="s">
        <v>41</v>
      </c>
      <c r="C56" t="s">
        <v>77</v>
      </c>
      <c r="D56">
        <v>703400</v>
      </c>
      <c r="E56" t="s">
        <v>13</v>
      </c>
      <c r="F56">
        <v>59.75</v>
      </c>
      <c r="G56">
        <v>-154.917</v>
      </c>
      <c r="H56">
        <v>-9</v>
      </c>
      <c r="I56">
        <v>57</v>
      </c>
      <c r="J56" t="str">
        <f>HYPERLINK("https://climate.onebuilding.org/WMO_Region_4_North_and_Central_America/USA_United_States_of_America/AK_Alaska/USA_AK_Iliamna.AP.703400_TMY3.zip")</f>
        <v>https://climate.onebuilding.org/WMO_Region_4_North_and_Central_America/USA_United_States_of_America/AK_Alaska/USA_AK_Iliamna.AP.703400_TMY3.zip</v>
      </c>
    </row>
    <row r="57" spans="1:10" x14ac:dyDescent="0.25">
      <c r="A57" t="s">
        <v>15</v>
      </c>
      <c r="B57" t="s">
        <v>41</v>
      </c>
      <c r="C57" t="s">
        <v>78</v>
      </c>
      <c r="D57">
        <v>703810</v>
      </c>
      <c r="E57" t="s">
        <v>13</v>
      </c>
      <c r="F57">
        <v>58.35</v>
      </c>
      <c r="G57">
        <v>-134.583</v>
      </c>
      <c r="H57">
        <v>-9</v>
      </c>
      <c r="I57">
        <v>4</v>
      </c>
      <c r="J57" t="str">
        <f>HYPERLINK("https://climate.onebuilding.org/WMO_Region_4_North_and_Central_America/USA_United_States_of_America/AK_Alaska/USA_AK_Juneau.Intl.AP.703810_TMY3.zip")</f>
        <v>https://climate.onebuilding.org/WMO_Region_4_North_and_Central_America/USA_United_States_of_America/AK_Alaska/USA_AK_Juneau.Intl.AP.703810_TMY3.zip</v>
      </c>
    </row>
    <row r="58" spans="1:10" x14ac:dyDescent="0.25">
      <c r="A58" t="s">
        <v>15</v>
      </c>
      <c r="B58" t="s">
        <v>41</v>
      </c>
      <c r="C58" t="s">
        <v>79</v>
      </c>
      <c r="D58">
        <v>703855</v>
      </c>
      <c r="E58" t="s">
        <v>13</v>
      </c>
      <c r="F58">
        <v>56.972999999999999</v>
      </c>
      <c r="G58">
        <v>-133.94499999999999</v>
      </c>
      <c r="H58">
        <v>-9</v>
      </c>
      <c r="I58">
        <v>0</v>
      </c>
      <c r="J58" t="str">
        <f>HYPERLINK("https://climate.onebuilding.org/WMO_Region_4_North_and_Central_America/USA_United_States_of_America/AK_Alaska/USA_AK_Kake.Seaplane.Base.703855_TMY3.zip")</f>
        <v>https://climate.onebuilding.org/WMO_Region_4_North_and_Central_America/USA_United_States_of_America/AK_Alaska/USA_AK_Kake.Seaplane.Base.703855_TMY3.zip</v>
      </c>
    </row>
    <row r="59" spans="1:10" x14ac:dyDescent="0.25">
      <c r="A59" t="s">
        <v>15</v>
      </c>
      <c r="B59" t="s">
        <v>41</v>
      </c>
      <c r="C59" t="s">
        <v>80</v>
      </c>
      <c r="D59">
        <v>702590</v>
      </c>
      <c r="E59" t="s">
        <v>13</v>
      </c>
      <c r="F59">
        <v>60.582999999999998</v>
      </c>
      <c r="G59">
        <v>-151.233</v>
      </c>
      <c r="H59">
        <v>-9</v>
      </c>
      <c r="I59">
        <v>26</v>
      </c>
      <c r="J59" t="str">
        <f>HYPERLINK("https://climate.onebuilding.org/WMO_Region_4_North_and_Central_America/USA_United_States_of_America/AK_Alaska/USA_AK_Kenai.Muni.AP.702590_TMY3.zip")</f>
        <v>https://climate.onebuilding.org/WMO_Region_4_North_and_Central_America/USA_United_States_of_America/AK_Alaska/USA_AK_Kenai.Muni.AP.702590_TMY3.zip</v>
      </c>
    </row>
    <row r="60" spans="1:10" x14ac:dyDescent="0.25">
      <c r="A60" t="s">
        <v>15</v>
      </c>
      <c r="B60" t="s">
        <v>41</v>
      </c>
      <c r="C60" t="s">
        <v>81</v>
      </c>
      <c r="D60">
        <v>703950</v>
      </c>
      <c r="E60" t="s">
        <v>13</v>
      </c>
      <c r="F60">
        <v>55.357999999999997</v>
      </c>
      <c r="G60">
        <v>-131.71700000000001</v>
      </c>
      <c r="H60">
        <v>-9</v>
      </c>
      <c r="I60">
        <v>23</v>
      </c>
      <c r="J60" t="str">
        <f>HYPERLINK("https://climate.onebuilding.org/WMO_Region_4_North_and_Central_America/USA_United_States_of_America/AK_Alaska/USA_AK_Ketchikan.Intl.AP.703950_TMY3.zip")</f>
        <v>https://climate.onebuilding.org/WMO_Region_4_North_and_Central_America/USA_United_States_of_America/AK_Alaska/USA_AK_Ketchikan.Intl.AP.703950_TMY3.zip</v>
      </c>
    </row>
    <row r="61" spans="1:10" x14ac:dyDescent="0.25">
      <c r="A61" t="s">
        <v>15</v>
      </c>
      <c r="B61" t="s">
        <v>41</v>
      </c>
      <c r="C61" t="s">
        <v>82</v>
      </c>
      <c r="D61">
        <v>703260</v>
      </c>
      <c r="E61" t="s">
        <v>13</v>
      </c>
      <c r="F61">
        <v>58.683</v>
      </c>
      <c r="G61">
        <v>-156.65</v>
      </c>
      <c r="H61">
        <v>-9</v>
      </c>
      <c r="I61">
        <v>15</v>
      </c>
      <c r="J61" t="str">
        <f>HYPERLINK("https://climate.onebuilding.org/WMO_Region_4_North_and_Central_America/USA_United_States_of_America/AK_Alaska/USA_AK_King.Salmon.AP.703260_TMY3.zip")</f>
        <v>https://climate.onebuilding.org/WMO_Region_4_North_and_Central_America/USA_United_States_of_America/AK_Alaska/USA_AK_King.Salmon.AP.703260_TMY3.zip</v>
      </c>
    </row>
    <row r="62" spans="1:10" x14ac:dyDescent="0.25">
      <c r="A62" t="s">
        <v>15</v>
      </c>
      <c r="B62" t="s">
        <v>41</v>
      </c>
      <c r="C62" t="s">
        <v>83</v>
      </c>
      <c r="D62">
        <v>703500</v>
      </c>
      <c r="E62" t="s">
        <v>13</v>
      </c>
      <c r="F62">
        <v>57.75</v>
      </c>
      <c r="G62">
        <v>-152.5</v>
      </c>
      <c r="H62">
        <v>-9</v>
      </c>
      <c r="I62">
        <v>5</v>
      </c>
      <c r="J62" t="str">
        <f>HYPERLINK("https://climate.onebuilding.org/WMO_Region_4_North_and_Central_America/USA_United_States_of_America/AK_Alaska/USA_AK_Kodiak.Muni.AP.703500_TMY3.zip")</f>
        <v>https://climate.onebuilding.org/WMO_Region_4_North_and_Central_America/USA_United_States_of_America/AK_Alaska/USA_AK_Kodiak.Muni.AP.703500_TMY3.zip</v>
      </c>
    </row>
    <row r="63" spans="1:10" x14ac:dyDescent="0.25">
      <c r="A63" t="s">
        <v>15</v>
      </c>
      <c r="B63" t="s">
        <v>41</v>
      </c>
      <c r="C63" t="s">
        <v>84</v>
      </c>
      <c r="D63">
        <v>701330</v>
      </c>
      <c r="E63" t="s">
        <v>13</v>
      </c>
      <c r="F63">
        <v>66.89</v>
      </c>
      <c r="G63">
        <v>-162.60300000000001</v>
      </c>
      <c r="H63">
        <v>-9</v>
      </c>
      <c r="I63">
        <v>3</v>
      </c>
      <c r="J63" t="str">
        <f>HYPERLINK("https://climate.onebuilding.org/WMO_Region_4_North_and_Central_America/USA_United_States_of_America/AK_Alaska/USA_AK_Kotzebue-Wien.Meml.AP.701330_TMY3.zip")</f>
        <v>https://climate.onebuilding.org/WMO_Region_4_North_and_Central_America/USA_United_States_of_America/AK_Alaska/USA_AK_Kotzebue-Wien.Meml.AP.701330_TMY3.zip</v>
      </c>
    </row>
    <row r="64" spans="1:10" x14ac:dyDescent="0.25">
      <c r="A64" t="s">
        <v>15</v>
      </c>
      <c r="B64" t="s">
        <v>41</v>
      </c>
      <c r="C64" t="s">
        <v>85</v>
      </c>
      <c r="D64">
        <v>702310</v>
      </c>
      <c r="E64" t="s">
        <v>13</v>
      </c>
      <c r="F64">
        <v>62.95</v>
      </c>
      <c r="G64">
        <v>-155.6</v>
      </c>
      <c r="H64">
        <v>-9</v>
      </c>
      <c r="I64">
        <v>105</v>
      </c>
      <c r="J64" t="str">
        <f>HYPERLINK("https://climate.onebuilding.org/WMO_Region_4_North_and_Central_America/USA_United_States_of_America/AK_Alaska/USA_AK_McGrath.AP.702310_TMY3.zip")</f>
        <v>https://climate.onebuilding.org/WMO_Region_4_North_and_Central_America/USA_United_States_of_America/AK_Alaska/USA_AK_McGrath.AP.702310_TMY3.zip</v>
      </c>
    </row>
    <row r="65" spans="1:10" x14ac:dyDescent="0.25">
      <c r="A65" t="s">
        <v>15</v>
      </c>
      <c r="B65" t="s">
        <v>41</v>
      </c>
      <c r="C65" t="s">
        <v>86</v>
      </c>
      <c r="D65">
        <v>702185</v>
      </c>
      <c r="E65" t="s">
        <v>13</v>
      </c>
      <c r="F65">
        <v>60.366999999999997</v>
      </c>
      <c r="G65">
        <v>-166.267</v>
      </c>
      <c r="H65">
        <v>-9</v>
      </c>
      <c r="I65">
        <v>15</v>
      </c>
      <c r="J65" t="str">
        <f>HYPERLINK("https://climate.onebuilding.org/WMO_Region_4_North_and_Central_America/USA_United_States_of_America/AK_Alaska/USA_AK_Mekoryuk.AP.702185_TMY3.zip")</f>
        <v>https://climate.onebuilding.org/WMO_Region_4_North_and_Central_America/USA_United_States_of_America/AK_Alaska/USA_AK_Mekoryuk.AP.702185_TMY3.zip</v>
      </c>
    </row>
    <row r="66" spans="1:10" x14ac:dyDescent="0.25">
      <c r="A66" t="s">
        <v>15</v>
      </c>
      <c r="B66" t="s">
        <v>41</v>
      </c>
      <c r="C66" t="s">
        <v>87</v>
      </c>
      <c r="D66">
        <v>703430</v>
      </c>
      <c r="E66" t="s">
        <v>13</v>
      </c>
      <c r="F66">
        <v>59.44</v>
      </c>
      <c r="G66">
        <v>-146.31700000000001</v>
      </c>
      <c r="H66">
        <v>-9</v>
      </c>
      <c r="I66">
        <v>14</v>
      </c>
      <c r="J66" t="str">
        <f>HYPERLINK("https://climate.onebuilding.org/WMO_Region_4_North_and_Central_America/USA_United_States_of_America/AK_Alaska/USA_AK_Middleton.Island.AP.703430_TMY3.zip")</f>
        <v>https://climate.onebuilding.org/WMO_Region_4_North_and_Central_America/USA_United_States_of_America/AK_Alaska/USA_AK_Middleton.Island.AP.703430_TMY3.zip</v>
      </c>
    </row>
    <row r="67" spans="1:10" x14ac:dyDescent="0.25">
      <c r="A67" t="s">
        <v>15</v>
      </c>
      <c r="B67" t="s">
        <v>41</v>
      </c>
      <c r="C67" t="s">
        <v>88</v>
      </c>
      <c r="D67">
        <v>702460</v>
      </c>
      <c r="E67" t="s">
        <v>13</v>
      </c>
      <c r="F67">
        <v>63.883000000000003</v>
      </c>
      <c r="G67">
        <v>-152.30000000000001</v>
      </c>
      <c r="H67">
        <v>-9</v>
      </c>
      <c r="I67">
        <v>213</v>
      </c>
      <c r="J67" t="str">
        <f>HYPERLINK("https://climate.onebuilding.org/WMO_Region_4_North_and_Central_America/USA_United_States_of_America/AK_Alaska/USA_AK_Minchumina.AP.702460_TMY3.zip")</f>
        <v>https://climate.onebuilding.org/WMO_Region_4_North_and_Central_America/USA_United_States_of_America/AK_Alaska/USA_AK_Minchumina.AP.702460_TMY3.zip</v>
      </c>
    </row>
    <row r="68" spans="1:10" x14ac:dyDescent="0.25">
      <c r="A68" t="s">
        <v>15</v>
      </c>
      <c r="B68" t="s">
        <v>41</v>
      </c>
      <c r="C68" t="s">
        <v>89</v>
      </c>
      <c r="D68">
        <v>702600</v>
      </c>
      <c r="E68" t="s">
        <v>13</v>
      </c>
      <c r="F68">
        <v>64.55</v>
      </c>
      <c r="G68">
        <v>-149.1</v>
      </c>
      <c r="H68">
        <v>-9</v>
      </c>
      <c r="I68">
        <v>109</v>
      </c>
      <c r="J68" t="str">
        <f>HYPERLINK("https://climate.onebuilding.org/WMO_Region_4_North_and_Central_America/USA_United_States_of_America/AK_Alaska/USA_AK_Nenana.Muni.AP.702600_TMY3.zip")</f>
        <v>https://climate.onebuilding.org/WMO_Region_4_North_and_Central_America/USA_United_States_of_America/AK_Alaska/USA_AK_Nenana.Muni.AP.702600_TMY3.zip</v>
      </c>
    </row>
    <row r="69" spans="1:10" x14ac:dyDescent="0.25">
      <c r="A69" t="s">
        <v>15</v>
      </c>
      <c r="B69" t="s">
        <v>41</v>
      </c>
      <c r="C69" t="s">
        <v>90</v>
      </c>
      <c r="D69">
        <v>702000</v>
      </c>
      <c r="E69" t="s">
        <v>13</v>
      </c>
      <c r="F69">
        <v>64.516999999999996</v>
      </c>
      <c r="G69">
        <v>-165.45</v>
      </c>
      <c r="H69">
        <v>-9</v>
      </c>
      <c r="I69">
        <v>4</v>
      </c>
      <c r="J69" t="str">
        <f>HYPERLINK("https://climate.onebuilding.org/WMO_Region_4_North_and_Central_America/USA_United_States_of_America/AK_Alaska/USA_AK_Nome.AP.702000_TMY3.zip")</f>
        <v>https://climate.onebuilding.org/WMO_Region_4_North_and_Central_America/USA_United_States_of_America/AK_Alaska/USA_AK_Nome.AP.702000_TMY3.zip</v>
      </c>
    </row>
    <row r="70" spans="1:10" x14ac:dyDescent="0.25">
      <c r="A70" t="s">
        <v>15</v>
      </c>
      <c r="B70" t="s">
        <v>41</v>
      </c>
      <c r="C70" t="s">
        <v>91</v>
      </c>
      <c r="D70">
        <v>702910</v>
      </c>
      <c r="E70" t="s">
        <v>13</v>
      </c>
      <c r="F70">
        <v>62.966999999999999</v>
      </c>
      <c r="G70">
        <v>-141.93299999999999</v>
      </c>
      <c r="H70">
        <v>-9</v>
      </c>
      <c r="I70">
        <v>522</v>
      </c>
      <c r="J70" t="str">
        <f>HYPERLINK("https://climate.onebuilding.org/WMO_Region_4_North_and_Central_America/USA_United_States_of_America/AK_Alaska/USA_AK_Northway.AP.702910_TMY3.zip")</f>
        <v>https://climate.onebuilding.org/WMO_Region_4_North_and_Central_America/USA_United_States_of_America/AK_Alaska/USA_AK_Northway.AP.702910_TMY3.zip</v>
      </c>
    </row>
    <row r="71" spans="1:10" x14ac:dyDescent="0.25">
      <c r="A71" t="s">
        <v>15</v>
      </c>
      <c r="B71" t="s">
        <v>41</v>
      </c>
      <c r="C71" t="s">
        <v>92</v>
      </c>
      <c r="D71">
        <v>702740</v>
      </c>
      <c r="E71" t="s">
        <v>13</v>
      </c>
      <c r="F71">
        <v>61.6</v>
      </c>
      <c r="G71">
        <v>-149.09</v>
      </c>
      <c r="H71">
        <v>-9</v>
      </c>
      <c r="I71">
        <v>71</v>
      </c>
      <c r="J71" t="str">
        <f>HYPERLINK("https://climate.onebuilding.org/WMO_Region_4_North_and_Central_America/USA_United_States_of_America/AK_Alaska/USA_AK_Palmer.Muni.AP.702740_TMY3.zip")</f>
        <v>https://climate.onebuilding.org/WMO_Region_4_North_and_Central_America/USA_United_States_of_America/AK_Alaska/USA_AK_Palmer.Muni.AP.702740_TMY3.zip</v>
      </c>
    </row>
    <row r="72" spans="1:10" x14ac:dyDescent="0.25">
      <c r="A72" t="s">
        <v>15</v>
      </c>
      <c r="B72" t="s">
        <v>41</v>
      </c>
      <c r="C72" t="s">
        <v>93</v>
      </c>
      <c r="D72">
        <v>703860</v>
      </c>
      <c r="E72" t="s">
        <v>13</v>
      </c>
      <c r="F72">
        <v>56.8</v>
      </c>
      <c r="G72">
        <v>-132.94999999999999</v>
      </c>
      <c r="H72">
        <v>-9</v>
      </c>
      <c r="I72">
        <v>33</v>
      </c>
      <c r="J72" t="str">
        <f>HYPERLINK("https://climate.onebuilding.org/WMO_Region_4_North_and_Central_America/USA_United_States_of_America/AK_Alaska/USA_AK_Petersburg.Johnson.AP.703860_TMY3.zip")</f>
        <v>https://climate.onebuilding.org/WMO_Region_4_North_and_Central_America/USA_United_States_of_America/AK_Alaska/USA_AK_Petersburg.Johnson.AP.703860_TMY3.zip</v>
      </c>
    </row>
    <row r="73" spans="1:10" x14ac:dyDescent="0.25">
      <c r="A73" t="s">
        <v>15</v>
      </c>
      <c r="B73" t="s">
        <v>41</v>
      </c>
      <c r="C73" t="s">
        <v>94</v>
      </c>
      <c r="D73">
        <v>701043</v>
      </c>
      <c r="E73" t="s">
        <v>13</v>
      </c>
      <c r="F73">
        <v>68.349999999999994</v>
      </c>
      <c r="G73">
        <v>-166.8</v>
      </c>
      <c r="H73">
        <v>-9</v>
      </c>
      <c r="I73">
        <v>4</v>
      </c>
      <c r="J73" t="str">
        <f>HYPERLINK("https://climate.onebuilding.org/WMO_Region_4_North_and_Central_America/USA_United_States_of_America/AK_Alaska/USA_AK_Point.Hope.AP.701043_TMY3.zip")</f>
        <v>https://climate.onebuilding.org/WMO_Region_4_North_and_Central_America/USA_United_States_of_America/AK_Alaska/USA_AK_Point.Hope.AP.701043_TMY3.zip</v>
      </c>
    </row>
    <row r="74" spans="1:10" x14ac:dyDescent="0.25">
      <c r="A74" t="s">
        <v>15</v>
      </c>
      <c r="B74" t="s">
        <v>41</v>
      </c>
      <c r="C74" t="s">
        <v>95</v>
      </c>
      <c r="D74">
        <v>703330</v>
      </c>
      <c r="E74" t="s">
        <v>13</v>
      </c>
      <c r="F74">
        <v>56.95</v>
      </c>
      <c r="G74">
        <v>-158.61699999999999</v>
      </c>
      <c r="H74">
        <v>-9</v>
      </c>
      <c r="I74">
        <v>29</v>
      </c>
      <c r="J74" t="str">
        <f>HYPERLINK("https://climate.onebuilding.org/WMO_Region_4_North_and_Central_America/USA_United_States_of_America/AK_Alaska/USA_AK_Port.Heiden.AP.703330_TMY3.zip")</f>
        <v>https://climate.onebuilding.org/WMO_Region_4_North_and_Central_America/USA_United_States_of_America/AK_Alaska/USA_AK_Port.Heiden.AP.703330_TMY3.zip</v>
      </c>
    </row>
    <row r="75" spans="1:10" x14ac:dyDescent="0.25">
      <c r="A75" t="s">
        <v>15</v>
      </c>
      <c r="B75" t="s">
        <v>41</v>
      </c>
      <c r="C75" t="s">
        <v>96</v>
      </c>
      <c r="D75">
        <v>702005</v>
      </c>
      <c r="E75" t="s">
        <v>13</v>
      </c>
      <c r="F75">
        <v>62.067</v>
      </c>
      <c r="G75">
        <v>-163.30000000000001</v>
      </c>
      <c r="H75">
        <v>-9</v>
      </c>
      <c r="I75">
        <v>95</v>
      </c>
      <c r="J75" t="str">
        <f>HYPERLINK("https://climate.onebuilding.org/WMO_Region_4_North_and_Central_America/USA_United_States_of_America/AK_Alaska/USA_AK_Saint.Marys.AP.702005_TMY3.zip")</f>
        <v>https://climate.onebuilding.org/WMO_Region_4_North_and_Central_America/USA_United_States_of_America/AK_Alaska/USA_AK_Saint.Marys.AP.702005_TMY3.zip</v>
      </c>
    </row>
    <row r="76" spans="1:10" x14ac:dyDescent="0.25">
      <c r="A76" t="s">
        <v>15</v>
      </c>
      <c r="B76" t="s">
        <v>41</v>
      </c>
      <c r="C76" t="s">
        <v>97</v>
      </c>
      <c r="D76">
        <v>703165</v>
      </c>
      <c r="E76" t="s">
        <v>13</v>
      </c>
      <c r="F76">
        <v>55.317</v>
      </c>
      <c r="G76">
        <v>-160.517</v>
      </c>
      <c r="H76">
        <v>-9</v>
      </c>
      <c r="I76">
        <v>7</v>
      </c>
      <c r="J76" t="str">
        <f>HYPERLINK("https://climate.onebuilding.org/WMO_Region_4_North_and_Central_America/USA_United_States_of_America/AK_Alaska/USA_AK_Sand.Point.AP.703165_TMY3.zip")</f>
        <v>https://climate.onebuilding.org/WMO_Region_4_North_and_Central_America/USA_United_States_of_America/AK_Alaska/USA_AK_Sand.Point.AP.703165_TMY3.zip</v>
      </c>
    </row>
    <row r="77" spans="1:10" x14ac:dyDescent="0.25">
      <c r="A77" t="s">
        <v>15</v>
      </c>
      <c r="B77" t="s">
        <v>41</v>
      </c>
      <c r="C77" t="s">
        <v>98</v>
      </c>
      <c r="D77">
        <v>702035</v>
      </c>
      <c r="E77" t="s">
        <v>13</v>
      </c>
      <c r="F77">
        <v>63.683</v>
      </c>
      <c r="G77">
        <v>-170.5</v>
      </c>
      <c r="H77">
        <v>-9</v>
      </c>
      <c r="I77">
        <v>17</v>
      </c>
      <c r="J77" t="str">
        <f>HYPERLINK("https://climate.onebuilding.org/WMO_Region_4_North_and_Central_America/USA_United_States_of_America/AK_Alaska/USA_AK_Savoonga.AP.702035_TMY3.zip")</f>
        <v>https://climate.onebuilding.org/WMO_Region_4_North_and_Central_America/USA_United_States_of_America/AK_Alaska/USA_AK_Savoonga.AP.702035_TMY3.zip</v>
      </c>
    </row>
    <row r="78" spans="1:10" x14ac:dyDescent="0.25">
      <c r="A78" t="s">
        <v>15</v>
      </c>
      <c r="B78" t="s">
        <v>41</v>
      </c>
      <c r="C78" t="s">
        <v>99</v>
      </c>
      <c r="D78">
        <v>700197</v>
      </c>
      <c r="E78" t="s">
        <v>13</v>
      </c>
      <c r="F78">
        <v>66.599999999999994</v>
      </c>
      <c r="G78">
        <v>-159.97999999999999</v>
      </c>
      <c r="H78">
        <v>-9</v>
      </c>
      <c r="I78">
        <v>8</v>
      </c>
      <c r="J78" t="str">
        <f>HYPERLINK("https://climate.onebuilding.org/WMO_Region_4_North_and_Central_America/USA_United_States_of_America/AK_Alaska/USA_AK_Selawik.AP.700197_TMY3.zip")</f>
        <v>https://climate.onebuilding.org/WMO_Region_4_North_and_Central_America/USA_United_States_of_America/AK_Alaska/USA_AK_Selawik.AP.700197_TMY3.zip</v>
      </c>
    </row>
    <row r="79" spans="1:10" x14ac:dyDescent="0.25">
      <c r="A79" t="s">
        <v>15</v>
      </c>
      <c r="B79" t="s">
        <v>41</v>
      </c>
      <c r="C79" t="s">
        <v>100</v>
      </c>
      <c r="D79">
        <v>702770</v>
      </c>
      <c r="E79" t="s">
        <v>13</v>
      </c>
      <c r="F79">
        <v>60.116999999999997</v>
      </c>
      <c r="G79">
        <v>-149.44999999999999</v>
      </c>
      <c r="H79">
        <v>-9</v>
      </c>
      <c r="I79">
        <v>18</v>
      </c>
      <c r="J79" t="str">
        <f>HYPERLINK("https://climate.onebuilding.org/WMO_Region_4_North_and_Central_America/USA_United_States_of_America/AK_Alaska/USA_AK_Seward.AP.702770_TMY3.zip")</f>
        <v>https://climate.onebuilding.org/WMO_Region_4_North_and_Central_America/USA_United_States_of_America/AK_Alaska/USA_AK_Seward.AP.702770_TMY3.zip</v>
      </c>
    </row>
    <row r="80" spans="1:10" x14ac:dyDescent="0.25">
      <c r="A80" t="s">
        <v>15</v>
      </c>
      <c r="B80" t="s">
        <v>41</v>
      </c>
      <c r="C80" t="s">
        <v>101</v>
      </c>
      <c r="D80">
        <v>704140</v>
      </c>
      <c r="E80" t="s">
        <v>13</v>
      </c>
      <c r="F80">
        <v>52.716999999999999</v>
      </c>
      <c r="G80">
        <v>174.11699999999999</v>
      </c>
      <c r="H80">
        <v>-10</v>
      </c>
      <c r="I80">
        <v>31</v>
      </c>
      <c r="J80" t="str">
        <f>HYPERLINK("https://climate.onebuilding.org/WMO_Region_4_North_and_Central_America/USA_United_States_of_America/AK_Alaska/USA_AK_Shemya-Eareckson.AS.704140_TMY3.zip")</f>
        <v>https://climate.onebuilding.org/WMO_Region_4_North_and_Central_America/USA_United_States_of_America/AK_Alaska/USA_AK_Shemya-Eareckson.AS.704140_TMY3.zip</v>
      </c>
    </row>
    <row r="81" spans="1:10" x14ac:dyDescent="0.25">
      <c r="A81" t="s">
        <v>15</v>
      </c>
      <c r="B81" t="s">
        <v>41</v>
      </c>
      <c r="C81" t="s">
        <v>102</v>
      </c>
      <c r="D81">
        <v>701195</v>
      </c>
      <c r="E81" t="s">
        <v>13</v>
      </c>
      <c r="F81">
        <v>66.251000000000005</v>
      </c>
      <c r="G81">
        <v>-166.084</v>
      </c>
      <c r="H81">
        <v>-9</v>
      </c>
      <c r="I81">
        <v>2</v>
      </c>
      <c r="J81" t="str">
        <f>HYPERLINK("https://climate.onebuilding.org/WMO_Region_4_North_and_Central_America/USA_United_States_of_America/AK_Alaska/USA_AK_Shishmaref.AP.701195_TMY3.zip")</f>
        <v>https://climate.onebuilding.org/WMO_Region_4_North_and_Central_America/USA_United_States_of_America/AK_Alaska/USA_AK_Shishmaref.AP.701195_TMY3.zip</v>
      </c>
    </row>
    <row r="82" spans="1:10" x14ac:dyDescent="0.25">
      <c r="A82" t="s">
        <v>15</v>
      </c>
      <c r="B82" t="s">
        <v>41</v>
      </c>
      <c r="C82" t="s">
        <v>103</v>
      </c>
      <c r="D82">
        <v>703710</v>
      </c>
      <c r="E82" t="s">
        <v>13</v>
      </c>
      <c r="F82">
        <v>57.05</v>
      </c>
      <c r="G82">
        <v>-135.36699999999999</v>
      </c>
      <c r="H82">
        <v>-9</v>
      </c>
      <c r="I82">
        <v>4</v>
      </c>
      <c r="J82" t="str">
        <f>HYPERLINK("https://climate.onebuilding.org/WMO_Region_4_North_and_Central_America/USA_United_States_of_America/AK_Alaska/USA_AK_Sitka.Gutierrez.AP.703710_TMY3.zip")</f>
        <v>https://climate.onebuilding.org/WMO_Region_4_North_and_Central_America/USA_United_States_of_America/AK_Alaska/USA_AK_Sitka.Gutierrez.AP.703710_TMY3.zip</v>
      </c>
    </row>
    <row r="83" spans="1:10" x14ac:dyDescent="0.25">
      <c r="A83" t="s">
        <v>15</v>
      </c>
      <c r="B83" t="s">
        <v>41</v>
      </c>
      <c r="C83" t="s">
        <v>104</v>
      </c>
      <c r="D83">
        <v>703620</v>
      </c>
      <c r="E83" t="s">
        <v>13</v>
      </c>
      <c r="F83">
        <v>59.466999999999999</v>
      </c>
      <c r="G83">
        <v>-135.30000000000001</v>
      </c>
      <c r="H83">
        <v>-9</v>
      </c>
      <c r="I83">
        <v>9</v>
      </c>
      <c r="J83" t="str">
        <f>HYPERLINK("https://climate.onebuilding.org/WMO_Region_4_North_and_Central_America/USA_United_States_of_America/AK_Alaska/USA_AK_Skagway.AP.703620_TMY3.zip")</f>
        <v>https://climate.onebuilding.org/WMO_Region_4_North_and_Central_America/USA_United_States_of_America/AK_Alaska/USA_AK_Skagway.AP.703620_TMY3.zip</v>
      </c>
    </row>
    <row r="84" spans="1:10" x14ac:dyDescent="0.25">
      <c r="A84" t="s">
        <v>15</v>
      </c>
      <c r="B84" t="s">
        <v>41</v>
      </c>
      <c r="C84" t="s">
        <v>105</v>
      </c>
      <c r="D84">
        <v>703407</v>
      </c>
      <c r="E84" t="s">
        <v>13</v>
      </c>
      <c r="F84">
        <v>61.716999999999999</v>
      </c>
      <c r="G84">
        <v>-157.15</v>
      </c>
      <c r="H84">
        <v>-9</v>
      </c>
      <c r="I84">
        <v>54</v>
      </c>
      <c r="J84" t="str">
        <f>HYPERLINK("https://climate.onebuilding.org/WMO_Region_4_North_and_Central_America/USA_United_States_of_America/AK_Alaska/USA_AK_Sleetmute.AP.703407_TMY3.zip")</f>
        <v>https://climate.onebuilding.org/WMO_Region_4_North_and_Central_America/USA_United_States_of_America/AK_Alaska/USA_AK_Sleetmute.AP.703407_TMY3.zip</v>
      </c>
    </row>
    <row r="85" spans="1:10" x14ac:dyDescent="0.25">
      <c r="A85" t="s">
        <v>15</v>
      </c>
      <c r="B85" t="s">
        <v>41</v>
      </c>
      <c r="C85" t="s">
        <v>106</v>
      </c>
      <c r="D85">
        <v>702595</v>
      </c>
      <c r="E85" t="s">
        <v>13</v>
      </c>
      <c r="F85">
        <v>60.466999999999999</v>
      </c>
      <c r="G85">
        <v>-151.03299999999999</v>
      </c>
      <c r="H85">
        <v>-9</v>
      </c>
      <c r="I85">
        <v>34</v>
      </c>
      <c r="J85" t="str">
        <f>HYPERLINK("https://climate.onebuilding.org/WMO_Region_4_North_and_Central_America/USA_United_States_of_America/AK_Alaska/USA_AK_Soldotna.AP.702595_TMY3.zip")</f>
        <v>https://climate.onebuilding.org/WMO_Region_4_North_and_Central_America/USA_United_States_of_America/AK_Alaska/USA_AK_Soldotna.AP.702595_TMY3.zip</v>
      </c>
    </row>
    <row r="86" spans="1:10" x14ac:dyDescent="0.25">
      <c r="A86" t="s">
        <v>15</v>
      </c>
      <c r="B86" t="s">
        <v>41</v>
      </c>
      <c r="C86" t="s">
        <v>107</v>
      </c>
      <c r="D86">
        <v>703080</v>
      </c>
      <c r="E86" t="s">
        <v>13</v>
      </c>
      <c r="F86">
        <v>57.167000000000002</v>
      </c>
      <c r="G86">
        <v>-170.21700000000001</v>
      </c>
      <c r="H86">
        <v>-9</v>
      </c>
      <c r="I86">
        <v>7</v>
      </c>
      <c r="J86" t="str">
        <f>HYPERLINK("https://climate.onebuilding.org/WMO_Region_4_North_and_Central_America/USA_United_States_of_America/AK_Alaska/USA_AK_St.Paul.Island.AP.703080_TMY3.zip")</f>
        <v>https://climate.onebuilding.org/WMO_Region_4_North_and_Central_America/USA_United_States_of_America/AK_Alaska/USA_AK_St.Paul.Island.AP.703080_TMY3.zip</v>
      </c>
    </row>
    <row r="87" spans="1:10" x14ac:dyDescent="0.25">
      <c r="A87" t="s">
        <v>15</v>
      </c>
      <c r="B87" t="s">
        <v>41</v>
      </c>
      <c r="C87" t="s">
        <v>108</v>
      </c>
      <c r="D87">
        <v>702510</v>
      </c>
      <c r="E87" t="s">
        <v>13</v>
      </c>
      <c r="F87">
        <v>62.317</v>
      </c>
      <c r="G87">
        <v>-150.1</v>
      </c>
      <c r="H87">
        <v>-9</v>
      </c>
      <c r="I87">
        <v>105</v>
      </c>
      <c r="J87" t="str">
        <f>HYPERLINK("https://climate.onebuilding.org/WMO_Region_4_North_and_Central_America/USA_United_States_of_America/AK_Alaska/USA_AK_Talkeetna.AP.702510_TMY3.zip")</f>
        <v>https://climate.onebuilding.org/WMO_Region_4_North_and_Central_America/USA_United_States_of_America/AK_Alaska/USA_AK_Talkeetna.AP.702510_TMY3.zip</v>
      </c>
    </row>
    <row r="88" spans="1:10" x14ac:dyDescent="0.25">
      <c r="A88" t="s">
        <v>15</v>
      </c>
      <c r="B88" t="s">
        <v>41</v>
      </c>
      <c r="C88" t="s">
        <v>109</v>
      </c>
      <c r="D88">
        <v>701780</v>
      </c>
      <c r="E88" t="s">
        <v>13</v>
      </c>
      <c r="F88">
        <v>65.174999999999997</v>
      </c>
      <c r="G88">
        <v>-152.1</v>
      </c>
      <c r="H88">
        <v>-9</v>
      </c>
      <c r="I88">
        <v>71</v>
      </c>
      <c r="J88" t="str">
        <f>HYPERLINK("https://climate.onebuilding.org/WMO_Region_4_North_and_Central_America/USA_United_States_of_America/AK_Alaska/USA_AK_Tanana-Calhoun.Meml.AP.701780_TMY3.zip")</f>
        <v>https://climate.onebuilding.org/WMO_Region_4_North_and_Central_America/USA_United_States_of_America/AK_Alaska/USA_AK_Tanana-Calhoun.Meml.AP.701780_TMY3.zip</v>
      </c>
    </row>
    <row r="89" spans="1:10" x14ac:dyDescent="0.25">
      <c r="A89" t="s">
        <v>15</v>
      </c>
      <c r="B89" t="s">
        <v>41</v>
      </c>
      <c r="C89" t="s">
        <v>110</v>
      </c>
      <c r="D89">
        <v>703606</v>
      </c>
      <c r="E89" t="s">
        <v>13</v>
      </c>
      <c r="F89">
        <v>59.05</v>
      </c>
      <c r="G89">
        <v>-160.4</v>
      </c>
      <c r="H89">
        <v>-9</v>
      </c>
      <c r="I89">
        <v>6</v>
      </c>
      <c r="J89" t="str">
        <f>HYPERLINK("https://climate.onebuilding.org/WMO_Region_4_North_and_Central_America/USA_United_States_of_America/AK_Alaska/USA_AK_Togiak.AP.703606_TMY3.zip")</f>
        <v>https://climate.onebuilding.org/WMO_Region_4_North_and_Central_America/USA_United_States_of_America/AK_Alaska/USA_AK_Togiak.AP.703606_TMY3.zip</v>
      </c>
    </row>
    <row r="90" spans="1:10" x14ac:dyDescent="0.25">
      <c r="A90" t="s">
        <v>15</v>
      </c>
      <c r="B90" t="s">
        <v>41</v>
      </c>
      <c r="C90" t="s">
        <v>111</v>
      </c>
      <c r="D90">
        <v>702070</v>
      </c>
      <c r="E90" t="s">
        <v>13</v>
      </c>
      <c r="F90">
        <v>63.883000000000003</v>
      </c>
      <c r="G90">
        <v>-160.80000000000001</v>
      </c>
      <c r="H90">
        <v>-9</v>
      </c>
      <c r="I90">
        <v>5</v>
      </c>
      <c r="J90" t="str">
        <f>HYPERLINK("https://climate.onebuilding.org/WMO_Region_4_North_and_Central_America/USA_United_States_of_America/AK_Alaska/USA_AK_Unalakleet.AP.702070_TMY3.zip")</f>
        <v>https://climate.onebuilding.org/WMO_Region_4_North_and_Central_America/USA_United_States_of_America/AK_Alaska/USA_AK_Unalakleet.AP.702070_TMY3.zip</v>
      </c>
    </row>
    <row r="91" spans="1:10" x14ac:dyDescent="0.25">
      <c r="A91" t="s">
        <v>15</v>
      </c>
      <c r="B91" t="s">
        <v>41</v>
      </c>
      <c r="C91" t="s">
        <v>112</v>
      </c>
      <c r="D91">
        <v>704890</v>
      </c>
      <c r="E91" t="s">
        <v>13</v>
      </c>
      <c r="F91">
        <v>53.9</v>
      </c>
      <c r="G91">
        <v>-166.54499999999999</v>
      </c>
      <c r="H91">
        <v>-9</v>
      </c>
      <c r="I91">
        <v>4</v>
      </c>
      <c r="J91" t="str">
        <f>HYPERLINK("https://climate.onebuilding.org/WMO_Region_4_North_and_Central_America/USA_United_States_of_America/AK_Alaska/USA_AK_Unalaska-Madsen.AP.704890_TMY3.zip")</f>
        <v>https://climate.onebuilding.org/WMO_Region_4_North_and_Central_America/USA_United_States_of_America/AK_Alaska/USA_AK_Unalaska-Madsen.AP.704890_TMY3.zip</v>
      </c>
    </row>
    <row r="92" spans="1:10" x14ac:dyDescent="0.25">
      <c r="A92" t="s">
        <v>15</v>
      </c>
      <c r="B92" t="s">
        <v>41</v>
      </c>
      <c r="C92" t="s">
        <v>113</v>
      </c>
      <c r="D92">
        <v>702756</v>
      </c>
      <c r="E92" t="s">
        <v>13</v>
      </c>
      <c r="F92">
        <v>61.133000000000003</v>
      </c>
      <c r="G92">
        <v>-146.267</v>
      </c>
      <c r="H92">
        <v>-9</v>
      </c>
      <c r="I92">
        <v>38</v>
      </c>
      <c r="J92" t="str">
        <f>HYPERLINK("https://climate.onebuilding.org/WMO_Region_4_North_and_Central_America/USA_United_States_of_America/AK_Alaska/USA_AK_Valdez.AP-Pioneer.Field.702756_TMY3.zip")</f>
        <v>https://climate.onebuilding.org/WMO_Region_4_North_and_Central_America/USA_United_States_of_America/AK_Alaska/USA_AK_Valdez.AP-Pioneer.Field.702756_TMY3.zip</v>
      </c>
    </row>
    <row r="93" spans="1:10" x14ac:dyDescent="0.25">
      <c r="A93" t="s">
        <v>15</v>
      </c>
      <c r="B93" t="s">
        <v>41</v>
      </c>
      <c r="C93" t="s">
        <v>114</v>
      </c>
      <c r="D93">
        <v>702750</v>
      </c>
      <c r="E93" t="s">
        <v>13</v>
      </c>
      <c r="F93">
        <v>61.133000000000003</v>
      </c>
      <c r="G93">
        <v>-146.35</v>
      </c>
      <c r="H93">
        <v>-9</v>
      </c>
      <c r="I93">
        <v>7</v>
      </c>
      <c r="J93" t="str">
        <f>HYPERLINK("https://climate.onebuilding.org/WMO_Region_4_North_and_Central_America/USA_United_States_of_America/AK_Alaska/USA_AK_Valdez.702750_TMY3.zip")</f>
        <v>https://climate.onebuilding.org/WMO_Region_4_North_and_Central_America/USA_United_States_of_America/AK_Alaska/USA_AK_Valdez.702750_TMY3.zip</v>
      </c>
    </row>
    <row r="94" spans="1:10" x14ac:dyDescent="0.25">
      <c r="A94" t="s">
        <v>15</v>
      </c>
      <c r="B94" t="s">
        <v>41</v>
      </c>
      <c r="C94" t="s">
        <v>115</v>
      </c>
      <c r="D94">
        <v>702757</v>
      </c>
      <c r="E94" t="s">
        <v>13</v>
      </c>
      <c r="F94">
        <v>60.767000000000003</v>
      </c>
      <c r="G94">
        <v>-148.68299999999999</v>
      </c>
      <c r="H94">
        <v>-9</v>
      </c>
      <c r="I94">
        <v>9</v>
      </c>
      <c r="J94" t="str">
        <f>HYPERLINK("https://climate.onebuilding.org/WMO_Region_4_North_and_Central_America/USA_United_States_of_America/AK_Alaska/USA_AK_Whittier.702757_TMY3.zip")</f>
        <v>https://climate.onebuilding.org/WMO_Region_4_North_and_Central_America/USA_United_States_of_America/AK_Alaska/USA_AK_Whittier.702757_TMY3.zip</v>
      </c>
    </row>
    <row r="95" spans="1:10" x14ac:dyDescent="0.25">
      <c r="A95" t="s">
        <v>15</v>
      </c>
      <c r="B95" t="s">
        <v>41</v>
      </c>
      <c r="C95" t="s">
        <v>116</v>
      </c>
      <c r="D95">
        <v>703870</v>
      </c>
      <c r="E95" t="s">
        <v>13</v>
      </c>
      <c r="F95">
        <v>56.482999999999997</v>
      </c>
      <c r="G95">
        <v>-132.36699999999999</v>
      </c>
      <c r="H95">
        <v>-9</v>
      </c>
      <c r="I95">
        <v>13</v>
      </c>
      <c r="J95" t="str">
        <f>HYPERLINK("https://climate.onebuilding.org/WMO_Region_4_North_and_Central_America/USA_United_States_of_America/AK_Alaska/USA_AK_Wrangell.AP.703870_TMY3.zip")</f>
        <v>https://climate.onebuilding.org/WMO_Region_4_North_and_Central_America/USA_United_States_of_America/AK_Alaska/USA_AK_Wrangell.AP.703870_TMY3.zip</v>
      </c>
    </row>
    <row r="96" spans="1:10" x14ac:dyDescent="0.25">
      <c r="A96" t="s">
        <v>15</v>
      </c>
      <c r="B96" t="s">
        <v>41</v>
      </c>
      <c r="C96" t="s">
        <v>117</v>
      </c>
      <c r="D96">
        <v>703610</v>
      </c>
      <c r="E96" t="s">
        <v>13</v>
      </c>
      <c r="F96">
        <v>59.517000000000003</v>
      </c>
      <c r="G96">
        <v>-139.63300000000001</v>
      </c>
      <c r="H96">
        <v>-9</v>
      </c>
      <c r="I96">
        <v>8</v>
      </c>
      <c r="J96" t="str">
        <f>HYPERLINK("https://climate.onebuilding.org/WMO_Region_4_North_and_Central_America/USA_United_States_of_America/AK_Alaska/USA_AK_Yakutat.AP.703610_TMY3.zip")</f>
        <v>https://climate.onebuilding.org/WMO_Region_4_North_and_Central_America/USA_United_States_of_America/AK_Alaska/USA_AK_Yakutat.AP.703610_TMY3.zip</v>
      </c>
    </row>
    <row r="97" spans="1:10" x14ac:dyDescent="0.25">
      <c r="A97" t="s">
        <v>15</v>
      </c>
      <c r="B97" t="s">
        <v>28</v>
      </c>
      <c r="C97" t="s">
        <v>118</v>
      </c>
      <c r="D97">
        <v>722287</v>
      </c>
      <c r="E97" t="s">
        <v>13</v>
      </c>
      <c r="F97">
        <v>33.582999999999998</v>
      </c>
      <c r="G97">
        <v>-85.85</v>
      </c>
      <c r="H97">
        <v>-6</v>
      </c>
      <c r="I97">
        <v>186</v>
      </c>
      <c r="J97" t="str">
        <f>HYPERLINK("https://climate.onebuilding.org/WMO_Region_4_North_and_Central_America/USA_United_States_of_America/AL_Alabama/USA_AL_Anniston.Rgnl.AP.722287_TMY3.zip")</f>
        <v>https://climate.onebuilding.org/WMO_Region_4_North_and_Central_America/USA_United_States_of_America/AL_Alabama/USA_AL_Anniston.Rgnl.AP.722287_TMY3.zip</v>
      </c>
    </row>
    <row r="98" spans="1:10" x14ac:dyDescent="0.25">
      <c r="A98" t="s">
        <v>15</v>
      </c>
      <c r="B98" t="s">
        <v>28</v>
      </c>
      <c r="C98" t="s">
        <v>119</v>
      </c>
      <c r="D98">
        <v>722284</v>
      </c>
      <c r="E98" t="s">
        <v>13</v>
      </c>
      <c r="F98">
        <v>32.616</v>
      </c>
      <c r="G98">
        <v>-85.433000000000007</v>
      </c>
      <c r="H98">
        <v>-6</v>
      </c>
      <c r="I98">
        <v>236</v>
      </c>
      <c r="J98" t="str">
        <f>HYPERLINK("https://climate.onebuilding.org/WMO_Region_4_North_and_Central_America/USA_United_States_of_America/AL_Alabama/USA_AL_Auburn.Univ.Rgnl.AP.722284_TMY3.zip")</f>
        <v>https://climate.onebuilding.org/WMO_Region_4_North_and_Central_America/USA_United_States_of_America/AL_Alabama/USA_AL_Auburn.Univ.Rgnl.AP.722284_TMY3.zip</v>
      </c>
    </row>
    <row r="99" spans="1:10" x14ac:dyDescent="0.25">
      <c r="A99" t="s">
        <v>15</v>
      </c>
      <c r="B99" t="s">
        <v>28</v>
      </c>
      <c r="C99" t="s">
        <v>120</v>
      </c>
      <c r="D99">
        <v>722280</v>
      </c>
      <c r="E99" t="s">
        <v>13</v>
      </c>
      <c r="F99">
        <v>33.567</v>
      </c>
      <c r="G99">
        <v>-86.75</v>
      </c>
      <c r="H99">
        <v>-6</v>
      </c>
      <c r="I99">
        <v>189</v>
      </c>
      <c r="J99" t="str">
        <f>HYPERLINK("https://climate.onebuilding.org/WMO_Region_4_North_and_Central_America/USA_United_States_of_America/AL_Alabama/USA_AL_Birmingham-Shuttlesworth.Intl.AP.722280_TMY3.zip")</f>
        <v>https://climate.onebuilding.org/WMO_Region_4_North_and_Central_America/USA_United_States_of_America/AL_Alabama/USA_AL_Birmingham-Shuttlesworth.Intl.AP.722280_TMY3.zip</v>
      </c>
    </row>
    <row r="100" spans="1:10" x14ac:dyDescent="0.25">
      <c r="A100" t="s">
        <v>15</v>
      </c>
      <c r="B100" t="s">
        <v>28</v>
      </c>
      <c r="C100" t="s">
        <v>121</v>
      </c>
      <c r="D100">
        <v>722268</v>
      </c>
      <c r="E100" t="s">
        <v>13</v>
      </c>
      <c r="F100">
        <v>31.32</v>
      </c>
      <c r="G100">
        <v>-85.45</v>
      </c>
      <c r="H100">
        <v>-6</v>
      </c>
      <c r="I100">
        <v>98</v>
      </c>
      <c r="J100" t="str">
        <f>HYPERLINK("https://climate.onebuilding.org/WMO_Region_4_North_and_Central_America/USA_United_States_of_America/AL_Alabama/USA_AL_Dothan.Rgnl.AP.722268_TMY3.zip")</f>
        <v>https://climate.onebuilding.org/WMO_Region_4_North_and_Central_America/USA_United_States_of_America/AL_Alabama/USA_AL_Dothan.Rgnl.AP.722268_TMY3.zip</v>
      </c>
    </row>
    <row r="101" spans="1:10" x14ac:dyDescent="0.25">
      <c r="A101" t="s">
        <v>15</v>
      </c>
      <c r="B101" t="s">
        <v>28</v>
      </c>
      <c r="C101" t="s">
        <v>122</v>
      </c>
      <c r="D101">
        <v>722269</v>
      </c>
      <c r="E101" t="s">
        <v>13</v>
      </c>
      <c r="F101">
        <v>31.266999999999999</v>
      </c>
      <c r="G101">
        <v>-85.716999999999999</v>
      </c>
      <c r="H101">
        <v>-6</v>
      </c>
      <c r="I101">
        <v>91</v>
      </c>
      <c r="J101" t="str">
        <f>HYPERLINK("https://climate.onebuilding.org/WMO_Region_4_North_and_Central_America/USA_United_States_of_America/AL_Alabama/USA_AL_Fort.Rucker-Cairns.AAF.722269_TMY3.zip")</f>
        <v>https://climate.onebuilding.org/WMO_Region_4_North_and_Central_America/USA_United_States_of_America/AL_Alabama/USA_AL_Fort.Rucker-Cairns.AAF.722269_TMY3.zip</v>
      </c>
    </row>
    <row r="102" spans="1:10" x14ac:dyDescent="0.25">
      <c r="A102" t="s">
        <v>15</v>
      </c>
      <c r="B102" t="s">
        <v>28</v>
      </c>
      <c r="C102" t="s">
        <v>123</v>
      </c>
      <c r="D102">
        <v>722285</v>
      </c>
      <c r="E102" t="s">
        <v>13</v>
      </c>
      <c r="F102">
        <v>33.966999999999999</v>
      </c>
      <c r="G102">
        <v>-86.082999999999998</v>
      </c>
      <c r="H102">
        <v>-6</v>
      </c>
      <c r="I102">
        <v>173</v>
      </c>
      <c r="J102" t="str">
        <f>HYPERLINK("https://climate.onebuilding.org/WMO_Region_4_North_and_Central_America/USA_United_States_of_America/AL_Alabama/USA_AL_Gadsen-Northeast.Alabama.Rgnl.AP.722285_TMY3.zip")</f>
        <v>https://climate.onebuilding.org/WMO_Region_4_North_and_Central_America/USA_United_States_of_America/AL_Alabama/USA_AL_Gadsen-Northeast.Alabama.Rgnl.AP.722285_TMY3.zip</v>
      </c>
    </row>
    <row r="103" spans="1:10" x14ac:dyDescent="0.25">
      <c r="A103" t="s">
        <v>15</v>
      </c>
      <c r="B103" t="s">
        <v>28</v>
      </c>
      <c r="C103" t="s">
        <v>124</v>
      </c>
      <c r="D103">
        <v>723230</v>
      </c>
      <c r="E103" t="s">
        <v>13</v>
      </c>
      <c r="F103">
        <v>34.65</v>
      </c>
      <c r="G103">
        <v>-86.783000000000001</v>
      </c>
      <c r="H103">
        <v>-6</v>
      </c>
      <c r="I103">
        <v>190</v>
      </c>
      <c r="J103" t="str">
        <f>HYPERLINK("https://climate.onebuilding.org/WMO_Region_4_North_and_Central_America/USA_United_States_of_America/AL_Alabama/USA_AL_Huntsville.Intl.AP-Jones.Field.723230_TMY3.zip")</f>
        <v>https://climate.onebuilding.org/WMO_Region_4_North_and_Central_America/USA_United_States_of_America/AL_Alabama/USA_AL_Huntsville.Intl.AP-Jones.Field.723230_TMY3.zip</v>
      </c>
    </row>
    <row r="104" spans="1:10" x14ac:dyDescent="0.25">
      <c r="A104" t="s">
        <v>15</v>
      </c>
      <c r="B104" t="s">
        <v>28</v>
      </c>
      <c r="C104" t="s">
        <v>125</v>
      </c>
      <c r="D104">
        <v>722265</v>
      </c>
      <c r="E104" t="s">
        <v>13</v>
      </c>
      <c r="F104">
        <v>32.383000000000003</v>
      </c>
      <c r="G104">
        <v>-86.35</v>
      </c>
      <c r="H104">
        <v>-6</v>
      </c>
      <c r="I104">
        <v>53</v>
      </c>
      <c r="J104" t="str">
        <f>HYPERLINK("https://climate.onebuilding.org/WMO_Region_4_North_and_Central_America/USA_United_States_of_America/AL_Alabama/USA_AL_Montgomery-Maxwell-Gunter.AFB.722265_TMY3.zip")</f>
        <v>https://climate.onebuilding.org/WMO_Region_4_North_and_Central_America/USA_United_States_of_America/AL_Alabama/USA_AL_Montgomery-Maxwell-Gunter.AFB.722265_TMY3.zip</v>
      </c>
    </row>
    <row r="105" spans="1:10" x14ac:dyDescent="0.25">
      <c r="A105" t="s">
        <v>15</v>
      </c>
      <c r="B105" t="s">
        <v>28</v>
      </c>
      <c r="C105" t="s">
        <v>126</v>
      </c>
      <c r="D105">
        <v>722235</v>
      </c>
      <c r="E105" t="s">
        <v>13</v>
      </c>
      <c r="F105">
        <v>30.632999999999999</v>
      </c>
      <c r="G105">
        <v>-88.066999999999993</v>
      </c>
      <c r="H105">
        <v>-6</v>
      </c>
      <c r="I105">
        <v>8</v>
      </c>
      <c r="J105" t="str">
        <f>HYPERLINK("https://climate.onebuilding.org/WMO_Region_4_North_and_Central_America/USA_United_States_of_America/AL_Alabama/USA_AL_Mobile-Downtown.AP.722235_TMY3.zip")</f>
        <v>https://climate.onebuilding.org/WMO_Region_4_North_and_Central_America/USA_United_States_of_America/AL_Alabama/USA_AL_Mobile-Downtown.AP.722235_TMY3.zip</v>
      </c>
    </row>
    <row r="106" spans="1:10" x14ac:dyDescent="0.25">
      <c r="A106" t="s">
        <v>15</v>
      </c>
      <c r="B106" t="s">
        <v>28</v>
      </c>
      <c r="C106" t="s">
        <v>127</v>
      </c>
      <c r="D106">
        <v>722230</v>
      </c>
      <c r="E106" t="s">
        <v>13</v>
      </c>
      <c r="F106">
        <v>30.683</v>
      </c>
      <c r="G106">
        <v>-88.25</v>
      </c>
      <c r="H106">
        <v>-6</v>
      </c>
      <c r="I106">
        <v>66</v>
      </c>
      <c r="J106" t="str">
        <f>HYPERLINK("https://climate.onebuilding.org/WMO_Region_4_North_and_Central_America/USA_United_States_of_America/AL_Alabama/USA_AL_Mobile-Rgnl.AP.722230_TMY3.zip")</f>
        <v>https://climate.onebuilding.org/WMO_Region_4_North_and_Central_America/USA_United_States_of_America/AL_Alabama/USA_AL_Mobile-Rgnl.AP.722230_TMY3.zip</v>
      </c>
    </row>
    <row r="107" spans="1:10" x14ac:dyDescent="0.25">
      <c r="A107" t="s">
        <v>15</v>
      </c>
      <c r="B107" t="s">
        <v>28</v>
      </c>
      <c r="C107" t="s">
        <v>128</v>
      </c>
      <c r="D107">
        <v>722260</v>
      </c>
      <c r="E107" t="s">
        <v>13</v>
      </c>
      <c r="F107">
        <v>32.299999999999997</v>
      </c>
      <c r="G107">
        <v>-86.4</v>
      </c>
      <c r="H107">
        <v>-6</v>
      </c>
      <c r="I107">
        <v>62</v>
      </c>
      <c r="J107" t="str">
        <f>HYPERLINK("https://climate.onebuilding.org/WMO_Region_4_North_and_Central_America/USA_United_States_of_America/AL_Alabama/USA_AL_Montgomery.Rgnl.AP-Dannelly.Field.722260_TMY3.zip")</f>
        <v>https://climate.onebuilding.org/WMO_Region_4_North_and_Central_America/USA_United_States_of_America/AL_Alabama/USA_AL_Montgomery.Rgnl.AP-Dannelly.Field.722260_TMY3.zip</v>
      </c>
    </row>
    <row r="108" spans="1:10" x14ac:dyDescent="0.25">
      <c r="A108" t="s">
        <v>15</v>
      </c>
      <c r="B108" t="s">
        <v>28</v>
      </c>
      <c r="C108" t="s">
        <v>129</v>
      </c>
      <c r="D108">
        <v>723235</v>
      </c>
      <c r="E108" t="s">
        <v>13</v>
      </c>
      <c r="F108">
        <v>34.75</v>
      </c>
      <c r="G108">
        <v>-87.6</v>
      </c>
      <c r="H108">
        <v>-6</v>
      </c>
      <c r="I108">
        <v>165</v>
      </c>
      <c r="J108" t="str">
        <f>HYPERLINK("https://climate.onebuilding.org/WMO_Region_4_North_and_Central_America/USA_United_States_of_America/AL_Alabama/USA_AL_Muscle.Shoals-Northwest.Alabama.Rgnl.AP.723235_TMY3.zip")</f>
        <v>https://climate.onebuilding.org/WMO_Region_4_North_and_Central_America/USA_United_States_of_America/AL_Alabama/USA_AL_Muscle.Shoals-Northwest.Alabama.Rgnl.AP.723235_TMY3.zip</v>
      </c>
    </row>
    <row r="109" spans="1:10" x14ac:dyDescent="0.25">
      <c r="A109" t="s">
        <v>15</v>
      </c>
      <c r="B109" t="s">
        <v>28</v>
      </c>
      <c r="C109" t="s">
        <v>130</v>
      </c>
      <c r="D109">
        <v>722267</v>
      </c>
      <c r="E109" t="s">
        <v>13</v>
      </c>
      <c r="F109">
        <v>31.867000000000001</v>
      </c>
      <c r="G109">
        <v>-86.016999999999996</v>
      </c>
      <c r="H109">
        <v>-6</v>
      </c>
      <c r="I109">
        <v>120</v>
      </c>
      <c r="J109" t="str">
        <f>HYPERLINK("https://climate.onebuilding.org/WMO_Region_4_North_and_Central_America/USA_United_States_of_America/AL_Alabama/USA_AL_Troy.Muni.AP.722267_TMY3.zip")</f>
        <v>https://climate.onebuilding.org/WMO_Region_4_North_and_Central_America/USA_United_States_of_America/AL_Alabama/USA_AL_Troy.Muni.AP.722267_TMY3.zip</v>
      </c>
    </row>
    <row r="110" spans="1:10" x14ac:dyDescent="0.25">
      <c r="A110" t="s">
        <v>15</v>
      </c>
      <c r="B110" t="s">
        <v>28</v>
      </c>
      <c r="C110" t="s">
        <v>131</v>
      </c>
      <c r="D110">
        <v>722286</v>
      </c>
      <c r="E110" t="s">
        <v>13</v>
      </c>
      <c r="F110">
        <v>33.216999999999999</v>
      </c>
      <c r="G110">
        <v>-87.617000000000004</v>
      </c>
      <c r="H110">
        <v>-6</v>
      </c>
      <c r="I110">
        <v>51</v>
      </c>
      <c r="J110" t="str">
        <f>HYPERLINK("https://climate.onebuilding.org/WMO_Region_4_North_and_Central_America/USA_United_States_of_America/AL_Alabama/USA_AL_Tuscaloosa.Rgnl.AP-Van.De.Graaff.Field.722286_TMY3.zip")</f>
        <v>https://climate.onebuilding.org/WMO_Region_4_North_and_Central_America/USA_United_States_of_America/AL_Alabama/USA_AL_Tuscaloosa.Rgnl.AP-Van.De.Graaff.Field.722286_TMY3.zip</v>
      </c>
    </row>
    <row r="111" spans="1:10" x14ac:dyDescent="0.25">
      <c r="A111" t="s">
        <v>15</v>
      </c>
      <c r="B111" t="s">
        <v>132</v>
      </c>
      <c r="C111" t="s">
        <v>133</v>
      </c>
      <c r="D111">
        <v>723448</v>
      </c>
      <c r="E111" t="s">
        <v>13</v>
      </c>
      <c r="F111">
        <v>35.732999999999997</v>
      </c>
      <c r="G111">
        <v>-91.65</v>
      </c>
      <c r="H111">
        <v>-6</v>
      </c>
      <c r="I111">
        <v>141</v>
      </c>
      <c r="J111" t="str">
        <f>HYPERLINK("https://climate.onebuilding.org/WMO_Region_4_North_and_Central_America/USA_United_States_of_America/AR_Arkansas/USA_AR_Batesville.Rgnl.AP.723448_TMY3.zip")</f>
        <v>https://climate.onebuilding.org/WMO_Region_4_North_and_Central_America/USA_United_States_of_America/AR_Arkansas/USA_AR_Batesville.Rgnl.AP.723448_TMY3.zip</v>
      </c>
    </row>
    <row r="112" spans="1:10" x14ac:dyDescent="0.25">
      <c r="A112" t="s">
        <v>15</v>
      </c>
      <c r="B112" t="s">
        <v>132</v>
      </c>
      <c r="C112" t="s">
        <v>134</v>
      </c>
      <c r="D112">
        <v>723444</v>
      </c>
      <c r="E112" t="s">
        <v>13</v>
      </c>
      <c r="F112">
        <v>36.35</v>
      </c>
      <c r="G112">
        <v>-94.216999999999999</v>
      </c>
      <c r="H112">
        <v>-6</v>
      </c>
      <c r="I112">
        <v>395</v>
      </c>
      <c r="J112" t="str">
        <f>HYPERLINK("https://climate.onebuilding.org/WMO_Region_4_North_and_Central_America/USA_United_States_of_America/AR_Arkansas/USA_AR_Bentonville.Muni.AP.723444_TMY3.zip")</f>
        <v>https://climate.onebuilding.org/WMO_Region_4_North_and_Central_America/USA_United_States_of_America/AR_Arkansas/USA_AR_Bentonville.Muni.AP.723444_TMY3.zip</v>
      </c>
    </row>
    <row r="113" spans="1:10" x14ac:dyDescent="0.25">
      <c r="A113" t="s">
        <v>15</v>
      </c>
      <c r="B113" t="s">
        <v>132</v>
      </c>
      <c r="C113" t="s">
        <v>135</v>
      </c>
      <c r="D113">
        <v>723419</v>
      </c>
      <c r="E113" t="s">
        <v>13</v>
      </c>
      <c r="F113">
        <v>33.216999999999999</v>
      </c>
      <c r="G113">
        <v>-92.816999999999993</v>
      </c>
      <c r="H113">
        <v>-6</v>
      </c>
      <c r="I113">
        <v>77</v>
      </c>
      <c r="J113" t="str">
        <f>HYPERLINK("https://climate.onebuilding.org/WMO_Region_4_North_and_Central_America/USA_United_States_of_America/AR_Arkansas/USA_AR_El.Dorado-South.Arkansas.Rgnl.AP-Goodwin.Field.723419_TMY3.zip")</f>
        <v>https://climate.onebuilding.org/WMO_Region_4_North_and_Central_America/USA_United_States_of_America/AR_Arkansas/USA_AR_El.Dorado-South.Arkansas.Rgnl.AP-Goodwin.Field.723419_TMY3.zip</v>
      </c>
    </row>
    <row r="114" spans="1:10" x14ac:dyDescent="0.25">
      <c r="A114" t="s">
        <v>15</v>
      </c>
      <c r="B114" t="s">
        <v>132</v>
      </c>
      <c r="C114" t="s">
        <v>136</v>
      </c>
      <c r="D114">
        <v>723445</v>
      </c>
      <c r="E114" t="s">
        <v>13</v>
      </c>
      <c r="F114">
        <v>36</v>
      </c>
      <c r="G114">
        <v>-94.167000000000002</v>
      </c>
      <c r="H114">
        <v>-6</v>
      </c>
      <c r="I114">
        <v>381</v>
      </c>
      <c r="J114" t="str">
        <f>HYPERLINK("https://climate.onebuilding.org/WMO_Region_4_North_and_Central_America/USA_United_States_of_America/AR_Arkansas/USA_AR_Fayetteville.Exec.AP-Drake.Field.723445_TMY3.zip")</f>
        <v>https://climate.onebuilding.org/WMO_Region_4_North_and_Central_America/USA_United_States_of_America/AR_Arkansas/USA_AR_Fayetteville.Exec.AP-Drake.Field.723445_TMY3.zip</v>
      </c>
    </row>
    <row r="115" spans="1:10" x14ac:dyDescent="0.25">
      <c r="A115" t="s">
        <v>15</v>
      </c>
      <c r="B115" t="s">
        <v>132</v>
      </c>
      <c r="C115" t="s">
        <v>137</v>
      </c>
      <c r="D115">
        <v>723447</v>
      </c>
      <c r="E115" t="s">
        <v>13</v>
      </c>
      <c r="F115">
        <v>36.29</v>
      </c>
      <c r="G115">
        <v>-92.59</v>
      </c>
      <c r="H115">
        <v>-6</v>
      </c>
      <c r="I115">
        <v>350</v>
      </c>
      <c r="J115" t="str">
        <f>HYPERLINK("https://climate.onebuilding.org/WMO_Region_4_North_and_Central_America/USA_United_States_of_America/AR_Arkansas/USA_AR_Flippin-Marion.County.Rgnl.AP.723447_TMY3.zip")</f>
        <v>https://climate.onebuilding.org/WMO_Region_4_North_and_Central_America/USA_United_States_of_America/AR_Arkansas/USA_AR_Flippin-Marion.County.Rgnl.AP.723447_TMY3.zip</v>
      </c>
    </row>
    <row r="116" spans="1:10" x14ac:dyDescent="0.25">
      <c r="A116" t="s">
        <v>15</v>
      </c>
      <c r="B116" t="s">
        <v>132</v>
      </c>
      <c r="C116" t="s">
        <v>138</v>
      </c>
      <c r="D116">
        <v>723440</v>
      </c>
      <c r="E116" t="s">
        <v>13</v>
      </c>
      <c r="F116">
        <v>35.332999999999998</v>
      </c>
      <c r="G116">
        <v>-94.367000000000004</v>
      </c>
      <c r="H116">
        <v>-6</v>
      </c>
      <c r="I116">
        <v>137</v>
      </c>
      <c r="J116" t="str">
        <f>HYPERLINK("https://climate.onebuilding.org/WMO_Region_4_North_and_Central_America/USA_United_States_of_America/AR_Arkansas/USA_AR_Fort.Smith.Rgnl.AP.723440_TMY3.zip")</f>
        <v>https://climate.onebuilding.org/WMO_Region_4_North_and_Central_America/USA_United_States_of_America/AR_Arkansas/USA_AR_Fort.Smith.Rgnl.AP.723440_TMY3.zip</v>
      </c>
    </row>
    <row r="117" spans="1:10" x14ac:dyDescent="0.25">
      <c r="A117" t="s">
        <v>15</v>
      </c>
      <c r="B117" t="s">
        <v>132</v>
      </c>
      <c r="C117" t="s">
        <v>139</v>
      </c>
      <c r="D117">
        <v>723450</v>
      </c>
      <c r="E117" t="s">
        <v>13</v>
      </c>
      <c r="F117">
        <v>36.267000000000003</v>
      </c>
      <c r="G117">
        <v>-93.15</v>
      </c>
      <c r="H117">
        <v>-6</v>
      </c>
      <c r="I117">
        <v>419</v>
      </c>
      <c r="J117" t="str">
        <f>HYPERLINK("https://climate.onebuilding.org/WMO_Region_4_North_and_Central_America/USA_United_States_of_America/AR_Arkansas/USA_AR_Harrison-Boone.County.Rgnl.AP.723450_TMY3.zip")</f>
        <v>https://climate.onebuilding.org/WMO_Region_4_North_and_Central_America/USA_United_States_of_America/AR_Arkansas/USA_AR_Harrison-Boone.County.Rgnl.AP.723450_TMY3.zip</v>
      </c>
    </row>
    <row r="118" spans="1:10" x14ac:dyDescent="0.25">
      <c r="A118" t="s">
        <v>15</v>
      </c>
      <c r="B118" t="s">
        <v>132</v>
      </c>
      <c r="C118" t="s">
        <v>140</v>
      </c>
      <c r="D118">
        <v>723415</v>
      </c>
      <c r="E118" t="s">
        <v>13</v>
      </c>
      <c r="F118">
        <v>34.466999999999999</v>
      </c>
      <c r="G118">
        <v>-93.1</v>
      </c>
      <c r="H118">
        <v>-6</v>
      </c>
      <c r="I118">
        <v>169</v>
      </c>
      <c r="J118" t="str">
        <f>HYPERLINK("https://climate.onebuilding.org/WMO_Region_4_North_and_Central_America/USA_United_States_of_America/AR_Arkansas/USA_AR_Hot.Springs-Meml.Field.AP.723415_TMY3.zip")</f>
        <v>https://climate.onebuilding.org/WMO_Region_4_North_and_Central_America/USA_United_States_of_America/AR_Arkansas/USA_AR_Hot.Springs-Meml.Field.AP.723415_TMY3.zip</v>
      </c>
    </row>
    <row r="119" spans="1:10" x14ac:dyDescent="0.25">
      <c r="A119" t="s">
        <v>15</v>
      </c>
      <c r="B119" t="s">
        <v>132</v>
      </c>
      <c r="C119" t="s">
        <v>141</v>
      </c>
      <c r="D119">
        <v>723407</v>
      </c>
      <c r="E119" t="s">
        <v>13</v>
      </c>
      <c r="F119">
        <v>35.832999999999998</v>
      </c>
      <c r="G119">
        <v>-90.65</v>
      </c>
      <c r="H119">
        <v>-6</v>
      </c>
      <c r="I119">
        <v>82</v>
      </c>
      <c r="J119" t="str">
        <f>HYPERLINK("https://climate.onebuilding.org/WMO_Region_4_North_and_Central_America/USA_United_States_of_America/AR_Arkansas/USA_AR_Jonesboro.Muni.AP.723407_TMY3.zip")</f>
        <v>https://climate.onebuilding.org/WMO_Region_4_North_and_Central_America/USA_United_States_of_America/AR_Arkansas/USA_AR_Jonesboro.Muni.AP.723407_TMY3.zip</v>
      </c>
    </row>
    <row r="120" spans="1:10" x14ac:dyDescent="0.25">
      <c r="A120" t="s">
        <v>15</v>
      </c>
      <c r="B120" t="s">
        <v>132</v>
      </c>
      <c r="C120" t="s">
        <v>142</v>
      </c>
      <c r="D120">
        <v>723403</v>
      </c>
      <c r="E120" t="s">
        <v>13</v>
      </c>
      <c r="F120">
        <v>34.729999999999997</v>
      </c>
      <c r="G120">
        <v>-92.233000000000004</v>
      </c>
      <c r="H120">
        <v>-6</v>
      </c>
      <c r="I120">
        <v>78</v>
      </c>
      <c r="J120" t="str">
        <f>HYPERLINK("https://climate.onebuilding.org/WMO_Region_4_North_and_Central_America/USA_United_States_of_America/AR_Arkansas/USA_AR_Little.Rock-Clinton.Natl.AP-Adams.Field.723403_TMY3.zip")</f>
        <v>https://climate.onebuilding.org/WMO_Region_4_North_and_Central_America/USA_United_States_of_America/AR_Arkansas/USA_AR_Little.Rock-Clinton.Natl.AP-Adams.Field.723403_TMY3.zip</v>
      </c>
    </row>
    <row r="121" spans="1:10" x14ac:dyDescent="0.25">
      <c r="A121" t="s">
        <v>15</v>
      </c>
      <c r="B121" t="s">
        <v>132</v>
      </c>
      <c r="C121" t="s">
        <v>143</v>
      </c>
      <c r="D121">
        <v>723405</v>
      </c>
      <c r="E121" t="s">
        <v>13</v>
      </c>
      <c r="F121">
        <v>34.917000000000002</v>
      </c>
      <c r="G121">
        <v>-92.15</v>
      </c>
      <c r="H121">
        <v>-6</v>
      </c>
      <c r="I121">
        <v>103</v>
      </c>
      <c r="J121" t="str">
        <f>HYPERLINK("https://climate.onebuilding.org/WMO_Region_4_North_and_Central_America/USA_United_States_of_America/AR_Arkansas/USA_AR_Little.Rock.AFB.723405_TMY3.zip")</f>
        <v>https://climate.onebuilding.org/WMO_Region_4_North_and_Central_America/USA_United_States_of_America/AR_Arkansas/USA_AR_Little.Rock.AFB.723405_TMY3.zip</v>
      </c>
    </row>
    <row r="122" spans="1:10" x14ac:dyDescent="0.25">
      <c r="A122" t="s">
        <v>15</v>
      </c>
      <c r="B122" t="s">
        <v>132</v>
      </c>
      <c r="C122" t="s">
        <v>144</v>
      </c>
      <c r="D122">
        <v>723417</v>
      </c>
      <c r="E122" t="s">
        <v>13</v>
      </c>
      <c r="F122">
        <v>34.167000000000002</v>
      </c>
      <c r="G122">
        <v>-91.933000000000007</v>
      </c>
      <c r="H122">
        <v>-6</v>
      </c>
      <c r="I122">
        <v>63</v>
      </c>
      <c r="J122" t="str">
        <f>HYPERLINK("https://climate.onebuilding.org/WMO_Region_4_North_and_Central_America/USA_United_States_of_America/AR_Arkansas/USA_AR_Pine.Bluff-Grider.Field.723417_TMY3.zip")</f>
        <v>https://climate.onebuilding.org/WMO_Region_4_North_and_Central_America/USA_United_States_of_America/AR_Arkansas/USA_AR_Pine.Bluff-Grider.Field.723417_TMY3.zip</v>
      </c>
    </row>
    <row r="123" spans="1:10" x14ac:dyDescent="0.25">
      <c r="A123" t="s">
        <v>15</v>
      </c>
      <c r="B123" t="s">
        <v>132</v>
      </c>
      <c r="C123" t="s">
        <v>145</v>
      </c>
      <c r="D123">
        <v>723449</v>
      </c>
      <c r="E123" t="s">
        <v>13</v>
      </c>
      <c r="F123">
        <v>36.366999999999997</v>
      </c>
      <c r="G123">
        <v>-94.1</v>
      </c>
      <c r="H123">
        <v>-6</v>
      </c>
      <c r="I123">
        <v>415</v>
      </c>
      <c r="J123" t="str">
        <f>HYPERLINK("https://climate.onebuilding.org/WMO_Region_4_North_and_Central_America/USA_United_States_of_America/AR_Arkansas/USA_AR_Rogers.Muni.AP-Carter.Field.723449_TMY3.zip")</f>
        <v>https://climate.onebuilding.org/WMO_Region_4_North_and_Central_America/USA_United_States_of_America/AR_Arkansas/USA_AR_Rogers.Muni.AP-Carter.Field.723449_TMY3.zip</v>
      </c>
    </row>
    <row r="124" spans="1:10" x14ac:dyDescent="0.25">
      <c r="A124" t="s">
        <v>15</v>
      </c>
      <c r="B124" t="s">
        <v>132</v>
      </c>
      <c r="C124" t="s">
        <v>146</v>
      </c>
      <c r="D124">
        <v>723443</v>
      </c>
      <c r="E124" t="s">
        <v>13</v>
      </c>
      <c r="F124">
        <v>36.183</v>
      </c>
      <c r="G124">
        <v>-94.483000000000004</v>
      </c>
      <c r="H124">
        <v>-6</v>
      </c>
      <c r="I124">
        <v>364</v>
      </c>
      <c r="J124" t="str">
        <f>HYPERLINK("https://climate.onebuilding.org/WMO_Region_4_North_and_Central_America/USA_United_States_of_America/AR_Arkansas/USA_AR_Siloam.Springs-Smith.Field.723443_TMY3.zip")</f>
        <v>https://climate.onebuilding.org/WMO_Region_4_North_and_Central_America/USA_United_States_of_America/AR_Arkansas/USA_AR_Siloam.Springs-Smith.Field.723443_TMY3.zip</v>
      </c>
    </row>
    <row r="125" spans="1:10" x14ac:dyDescent="0.25">
      <c r="A125" t="s">
        <v>15</v>
      </c>
      <c r="B125" t="s">
        <v>132</v>
      </c>
      <c r="C125" t="s">
        <v>147</v>
      </c>
      <c r="D125">
        <v>723434</v>
      </c>
      <c r="E125" t="s">
        <v>13</v>
      </c>
      <c r="F125">
        <v>36.183</v>
      </c>
      <c r="G125">
        <v>-94.117000000000004</v>
      </c>
      <c r="H125">
        <v>-6</v>
      </c>
      <c r="I125">
        <v>412</v>
      </c>
      <c r="J125" t="str">
        <f>HYPERLINK("https://climate.onebuilding.org/WMO_Region_4_North_and_Central_America/USA_United_States_of_America/AR_Arkansas/USA_AR_Springdale.Muni.AP.723434_TMY3.zip")</f>
        <v>https://climate.onebuilding.org/WMO_Region_4_North_and_Central_America/USA_United_States_of_America/AR_Arkansas/USA_AR_Springdale.Muni.AP.723434_TMY3.zip</v>
      </c>
    </row>
    <row r="126" spans="1:10" x14ac:dyDescent="0.25">
      <c r="A126" t="s">
        <v>15</v>
      </c>
      <c r="B126" t="s">
        <v>132</v>
      </c>
      <c r="C126" t="s">
        <v>148</v>
      </c>
      <c r="D126">
        <v>723416</v>
      </c>
      <c r="E126" t="s">
        <v>13</v>
      </c>
      <c r="F126">
        <v>34.6</v>
      </c>
      <c r="G126">
        <v>-91.566999999999993</v>
      </c>
      <c r="H126">
        <v>-6</v>
      </c>
      <c r="I126">
        <v>68</v>
      </c>
      <c r="J126" t="str">
        <f>HYPERLINK("https://climate.onebuilding.org/WMO_Region_4_North_and_Central_America/USA_United_States_of_America/AR_Arkansas/USA_AR_Stuttgart.Muni.AP.723416_TMY3.zip")</f>
        <v>https://climate.onebuilding.org/WMO_Region_4_North_and_Central_America/USA_United_States_of_America/AR_Arkansas/USA_AR_Stuttgart.Muni.AP.723416_TMY3.zip</v>
      </c>
    </row>
    <row r="127" spans="1:10" x14ac:dyDescent="0.25">
      <c r="A127" t="s">
        <v>15</v>
      </c>
      <c r="B127" t="s">
        <v>132</v>
      </c>
      <c r="C127" t="s">
        <v>149</v>
      </c>
      <c r="D127">
        <v>723418</v>
      </c>
      <c r="E127" t="s">
        <v>13</v>
      </c>
      <c r="F127">
        <v>33.450000000000003</v>
      </c>
      <c r="G127">
        <v>-94</v>
      </c>
      <c r="H127">
        <v>-6</v>
      </c>
      <c r="I127">
        <v>110</v>
      </c>
      <c r="J127" t="str">
        <f>HYPERLINK("https://climate.onebuilding.org/WMO_Region_4_North_and_Central_America/USA_United_States_of_America/AR_Arkansas/USA_AR_Texarkana.Rgnl.AP-Webb.Field.723418_TMY3.zip")</f>
        <v>https://climate.onebuilding.org/WMO_Region_4_North_and_Central_America/USA_United_States_of_America/AR_Arkansas/USA_AR_Texarkana.Rgnl.AP-Webb.Field.723418_TMY3.zip</v>
      </c>
    </row>
    <row r="128" spans="1:10" x14ac:dyDescent="0.25">
      <c r="A128" t="s">
        <v>15</v>
      </c>
      <c r="B128" t="s">
        <v>132</v>
      </c>
      <c r="C128" t="s">
        <v>150</v>
      </c>
      <c r="D128">
        <v>723406</v>
      </c>
      <c r="E128" t="s">
        <v>13</v>
      </c>
      <c r="F128">
        <v>36.133000000000003</v>
      </c>
      <c r="G128">
        <v>-90.917000000000002</v>
      </c>
      <c r="H128">
        <v>-6</v>
      </c>
      <c r="I128">
        <v>83</v>
      </c>
      <c r="J128" t="str">
        <f>HYPERLINK("https://climate.onebuilding.org/WMO_Region_4_North_and_Central_America/USA_United_States_of_America/AR_Arkansas/USA_AR_Walnut.Ridge.Rgnl.AP.723406_TMY3.zip")</f>
        <v>https://climate.onebuilding.org/WMO_Region_4_North_and_Central_America/USA_United_States_of_America/AR_Arkansas/USA_AR_Walnut.Ridge.Rgnl.AP.723406_TMY3.zip</v>
      </c>
    </row>
    <row r="129" spans="1:10" x14ac:dyDescent="0.25">
      <c r="A129" t="s">
        <v>15</v>
      </c>
      <c r="B129" t="s">
        <v>151</v>
      </c>
      <c r="C129" t="s">
        <v>152</v>
      </c>
      <c r="D129">
        <v>722748</v>
      </c>
      <c r="E129" t="s">
        <v>13</v>
      </c>
      <c r="F129">
        <v>32.950000000000003</v>
      </c>
      <c r="G129">
        <v>-111.767</v>
      </c>
      <c r="H129">
        <v>-7</v>
      </c>
      <c r="I129">
        <v>446</v>
      </c>
      <c r="J129" t="str">
        <f>HYPERLINK("https://climate.onebuilding.org/WMO_Region_4_North_and_Central_America/USA_United_States_of_America/AZ_Arizona/USA_AZ_Casa.Grande.Muni.AP.722748_TMY3.zip")</f>
        <v>https://climate.onebuilding.org/WMO_Region_4_North_and_Central_America/USA_United_States_of_America/AZ_Arizona/USA_AZ_Casa.Grande.Muni.AP.722748_TMY3.zip</v>
      </c>
    </row>
    <row r="130" spans="1:10" x14ac:dyDescent="0.25">
      <c r="A130" t="s">
        <v>15</v>
      </c>
      <c r="B130" t="s">
        <v>151</v>
      </c>
      <c r="C130" t="s">
        <v>153</v>
      </c>
      <c r="D130">
        <v>722745</v>
      </c>
      <c r="E130" t="s">
        <v>13</v>
      </c>
      <c r="F130">
        <v>32.167000000000002</v>
      </c>
      <c r="G130">
        <v>-110.883</v>
      </c>
      <c r="H130">
        <v>-7</v>
      </c>
      <c r="I130">
        <v>809</v>
      </c>
      <c r="J130" t="str">
        <f>HYPERLINK("https://climate.onebuilding.org/WMO_Region_4_North_and_Central_America/USA_United_States_of_America/AZ_Arizona/USA_AZ_Tucson-Davis-Monthan.AFB.722745_TMY3.zip")</f>
        <v>https://climate.onebuilding.org/WMO_Region_4_North_and_Central_America/USA_United_States_of_America/AZ_Arizona/USA_AZ_Tucson-Davis-Monthan.AFB.722745_TMY3.zip</v>
      </c>
    </row>
    <row r="131" spans="1:10" x14ac:dyDescent="0.25">
      <c r="A131" t="s">
        <v>15</v>
      </c>
      <c r="B131" t="s">
        <v>151</v>
      </c>
      <c r="C131" t="s">
        <v>154</v>
      </c>
      <c r="D131">
        <v>722720</v>
      </c>
      <c r="E131" t="s">
        <v>13</v>
      </c>
      <c r="F131">
        <v>31.466999999999999</v>
      </c>
      <c r="G131">
        <v>-109.6</v>
      </c>
      <c r="H131">
        <v>-7</v>
      </c>
      <c r="I131">
        <v>1249</v>
      </c>
      <c r="J131" t="str">
        <f>HYPERLINK("https://climate.onebuilding.org/WMO_Region_4_North_and_Central_America/USA_United_States_of_America/AZ_Arizona/USA_AZ_Bisbee.Douglas.Intl.AP.722720_TMY3.zip")</f>
        <v>https://climate.onebuilding.org/WMO_Region_4_North_and_Central_America/USA_United_States_of_America/AZ_Arizona/USA_AZ_Bisbee.Douglas.Intl.AP.722720_TMY3.zip</v>
      </c>
    </row>
    <row r="132" spans="1:10" x14ac:dyDescent="0.25">
      <c r="A132" t="s">
        <v>15</v>
      </c>
      <c r="B132" t="s">
        <v>151</v>
      </c>
      <c r="C132" t="s">
        <v>155</v>
      </c>
      <c r="D132">
        <v>723755</v>
      </c>
      <c r="E132" t="s">
        <v>13</v>
      </c>
      <c r="F132">
        <v>35.133000000000003</v>
      </c>
      <c r="G132">
        <v>-111.667</v>
      </c>
      <c r="H132">
        <v>-7</v>
      </c>
      <c r="I132">
        <v>2132</v>
      </c>
      <c r="J132" t="str">
        <f>HYPERLINK("https://climate.onebuilding.org/WMO_Region_4_North_and_Central_America/USA_United_States_of_America/AZ_Arizona/USA_AZ_Flagstaff.Pulliam.AP.723755_TMY3.zip")</f>
        <v>https://climate.onebuilding.org/WMO_Region_4_North_and_Central_America/USA_United_States_of_America/AZ_Arizona/USA_AZ_Flagstaff.Pulliam.AP.723755_TMY3.zip</v>
      </c>
    </row>
    <row r="133" spans="1:10" x14ac:dyDescent="0.25">
      <c r="A133" t="s">
        <v>15</v>
      </c>
      <c r="B133" t="s">
        <v>151</v>
      </c>
      <c r="C133" t="s">
        <v>156</v>
      </c>
      <c r="D133">
        <v>723783</v>
      </c>
      <c r="E133" t="s">
        <v>13</v>
      </c>
      <c r="F133">
        <v>35.950000000000003</v>
      </c>
      <c r="G133">
        <v>-112.15</v>
      </c>
      <c r="H133">
        <v>-7</v>
      </c>
      <c r="I133">
        <v>2065</v>
      </c>
      <c r="J133" t="str">
        <f>HYPERLINK("https://climate.onebuilding.org/WMO_Region_4_North_and_Central_America/USA_United_States_of_America/AZ_Arizona/USA_AZ_Grand.Canyon.Natl.Park.AP.723783_TMY3.zip")</f>
        <v>https://climate.onebuilding.org/WMO_Region_4_North_and_Central_America/USA_United_States_of_America/AZ_Arizona/USA_AZ_Grand.Canyon.Natl.Park.AP.723783_TMY3.zip</v>
      </c>
    </row>
    <row r="134" spans="1:10" x14ac:dyDescent="0.25">
      <c r="A134" t="s">
        <v>15</v>
      </c>
      <c r="B134" t="s">
        <v>151</v>
      </c>
      <c r="C134" t="s">
        <v>157</v>
      </c>
      <c r="D134">
        <v>723700</v>
      </c>
      <c r="E134" t="s">
        <v>13</v>
      </c>
      <c r="F134">
        <v>35.267000000000003</v>
      </c>
      <c r="G134">
        <v>-113.95</v>
      </c>
      <c r="H134">
        <v>-7</v>
      </c>
      <c r="I134">
        <v>1033</v>
      </c>
      <c r="J134" t="str">
        <f>HYPERLINK("https://climate.onebuilding.org/WMO_Region_4_North_and_Central_America/USA_United_States_of_America/AZ_Arizona/USA_AZ_Kingman.AP.723700_TMY3.zip")</f>
        <v>https://climate.onebuilding.org/WMO_Region_4_North_and_Central_America/USA_United_States_of_America/AZ_Arizona/USA_AZ_Kingman.AP.723700_TMY3.zip</v>
      </c>
    </row>
    <row r="135" spans="1:10" x14ac:dyDescent="0.25">
      <c r="A135" t="s">
        <v>15</v>
      </c>
      <c r="B135" t="s">
        <v>151</v>
      </c>
      <c r="C135" t="s">
        <v>158</v>
      </c>
      <c r="D135">
        <v>722785</v>
      </c>
      <c r="E135" t="s">
        <v>13</v>
      </c>
      <c r="F135">
        <v>33.549999999999997</v>
      </c>
      <c r="G135">
        <v>-112.367</v>
      </c>
      <c r="H135">
        <v>-7</v>
      </c>
      <c r="I135">
        <v>331</v>
      </c>
      <c r="J135" t="str">
        <f>HYPERLINK("https://climate.onebuilding.org/WMO_Region_4_North_and_Central_America/USA_United_States_of_America/AZ_Arizona/USA_AZ_Glendale-Luke.AFB.722785_TMY3.zip")</f>
        <v>https://climate.onebuilding.org/WMO_Region_4_North_and_Central_America/USA_United_States_of_America/AZ_Arizona/USA_AZ_Glendale-Luke.AFB.722785_TMY3.zip</v>
      </c>
    </row>
    <row r="136" spans="1:10" x14ac:dyDescent="0.25">
      <c r="A136" t="s">
        <v>15</v>
      </c>
      <c r="B136" t="s">
        <v>151</v>
      </c>
      <c r="C136" t="s">
        <v>159</v>
      </c>
      <c r="D136">
        <v>723710</v>
      </c>
      <c r="E136" t="s">
        <v>13</v>
      </c>
      <c r="F136">
        <v>36.933</v>
      </c>
      <c r="G136">
        <v>-111.45</v>
      </c>
      <c r="H136">
        <v>-7</v>
      </c>
      <c r="I136">
        <v>1304</v>
      </c>
      <c r="J136" t="str">
        <f>HYPERLINK("https://climate.onebuilding.org/WMO_Region_4_North_and_Central_America/USA_United_States_of_America/AZ_Arizona/USA_AZ_Page.Muni.AP.723710_TMY3.zip")</f>
        <v>https://climate.onebuilding.org/WMO_Region_4_North_and_Central_America/USA_United_States_of_America/AZ_Arizona/USA_AZ_Page.Muni.AP.723710_TMY3.zip</v>
      </c>
    </row>
    <row r="137" spans="1:10" x14ac:dyDescent="0.25">
      <c r="A137" t="s">
        <v>15</v>
      </c>
      <c r="B137" t="s">
        <v>151</v>
      </c>
      <c r="C137" t="s">
        <v>160</v>
      </c>
      <c r="D137">
        <v>722784</v>
      </c>
      <c r="E137" t="s">
        <v>13</v>
      </c>
      <c r="F137">
        <v>33.683</v>
      </c>
      <c r="G137">
        <v>-112.083</v>
      </c>
      <c r="H137">
        <v>-7</v>
      </c>
      <c r="I137">
        <v>450</v>
      </c>
      <c r="J137" t="str">
        <f>HYPERLINK("https://climate.onebuilding.org/WMO_Region_4_North_and_Central_America/USA_United_States_of_America/AZ_Arizona/USA_AZ_Phoenix-Deer.Valley.Muni.AP.722784_TMY3.zip")</f>
        <v>https://climate.onebuilding.org/WMO_Region_4_North_and_Central_America/USA_United_States_of_America/AZ_Arizona/USA_AZ_Phoenix-Deer.Valley.Muni.AP.722784_TMY3.zip</v>
      </c>
    </row>
    <row r="138" spans="1:10" x14ac:dyDescent="0.25">
      <c r="A138" t="s">
        <v>15</v>
      </c>
      <c r="B138" t="s">
        <v>151</v>
      </c>
      <c r="C138" t="s">
        <v>161</v>
      </c>
      <c r="D138">
        <v>722780</v>
      </c>
      <c r="E138" t="s">
        <v>13</v>
      </c>
      <c r="F138">
        <v>33.450000000000003</v>
      </c>
      <c r="G138">
        <v>-111.983</v>
      </c>
      <c r="H138">
        <v>-7</v>
      </c>
      <c r="I138">
        <v>337</v>
      </c>
      <c r="J138" t="str">
        <f>HYPERLINK("https://climate.onebuilding.org/WMO_Region_4_North_and_Central_America/USA_United_States_of_America/AZ_Arizona/USA_AZ_Phoenix-Sky.Harbor.Intl.AP.722780_TMY3.zip")</f>
        <v>https://climate.onebuilding.org/WMO_Region_4_North_and_Central_America/USA_United_States_of_America/AZ_Arizona/USA_AZ_Phoenix-Sky.Harbor.Intl.AP.722780_TMY3.zip</v>
      </c>
    </row>
    <row r="139" spans="1:10" x14ac:dyDescent="0.25">
      <c r="A139" t="s">
        <v>15</v>
      </c>
      <c r="B139" t="s">
        <v>151</v>
      </c>
      <c r="C139" t="s">
        <v>162</v>
      </c>
      <c r="D139">
        <v>723723</v>
      </c>
      <c r="E139" t="s">
        <v>13</v>
      </c>
      <c r="F139">
        <v>34.65</v>
      </c>
      <c r="G139">
        <v>-112.417</v>
      </c>
      <c r="H139">
        <v>-7</v>
      </c>
      <c r="I139">
        <v>1537</v>
      </c>
      <c r="J139" t="str">
        <f>HYPERLINK("https://climate.onebuilding.org/WMO_Region_4_North_and_Central_America/USA_United_States_of_America/AZ_Arizona/USA_AZ_Prescott.Muni.AP-Love.Field.723723_TMY3.zip")</f>
        <v>https://climate.onebuilding.org/WMO_Region_4_North_and_Central_America/USA_United_States_of_America/AZ_Arizona/USA_AZ_Prescott.Muni.AP-Love.Field.723723_TMY3.zip</v>
      </c>
    </row>
    <row r="140" spans="1:10" x14ac:dyDescent="0.25">
      <c r="A140" t="s">
        <v>15</v>
      </c>
      <c r="B140" t="s">
        <v>151</v>
      </c>
      <c r="C140" t="s">
        <v>163</v>
      </c>
      <c r="D140">
        <v>722747</v>
      </c>
      <c r="E140" t="s">
        <v>13</v>
      </c>
      <c r="F140">
        <v>32.85</v>
      </c>
      <c r="G140">
        <v>-109.64</v>
      </c>
      <c r="H140">
        <v>-7</v>
      </c>
      <c r="I140">
        <v>950</v>
      </c>
      <c r="J140" t="str">
        <f>HYPERLINK("https://climate.onebuilding.org/WMO_Region_4_North_and_Central_America/USA_United_States_of_America/AZ_Arizona/USA_AZ_Safford.Rgnl.AP.722747_TMY3.zip")</f>
        <v>https://climate.onebuilding.org/WMO_Region_4_North_and_Central_America/USA_United_States_of_America/AZ_Arizona/USA_AZ_Safford.Rgnl.AP.722747_TMY3.zip</v>
      </c>
    </row>
    <row r="141" spans="1:10" x14ac:dyDescent="0.25">
      <c r="A141" t="s">
        <v>15</v>
      </c>
      <c r="B141" t="s">
        <v>151</v>
      </c>
      <c r="C141" t="s">
        <v>164</v>
      </c>
      <c r="D141">
        <v>722789</v>
      </c>
      <c r="E141" t="s">
        <v>13</v>
      </c>
      <c r="F141">
        <v>33.616999999999997</v>
      </c>
      <c r="G141">
        <v>-111.917</v>
      </c>
      <c r="H141">
        <v>-7</v>
      </c>
      <c r="I141">
        <v>460</v>
      </c>
      <c r="J141" t="str">
        <f>HYPERLINK("https://climate.onebuilding.org/WMO_Region_4_North_and_Central_America/USA_United_States_of_America/AZ_Arizona/USA_AZ_Scottsdale.AP.722789_TMY3.zip")</f>
        <v>https://climate.onebuilding.org/WMO_Region_4_North_and_Central_America/USA_United_States_of_America/AZ_Arizona/USA_AZ_Scottsdale.AP.722789_TMY3.zip</v>
      </c>
    </row>
    <row r="142" spans="1:10" x14ac:dyDescent="0.25">
      <c r="A142" t="s">
        <v>15</v>
      </c>
      <c r="B142" t="s">
        <v>151</v>
      </c>
      <c r="C142" t="s">
        <v>165</v>
      </c>
      <c r="D142">
        <v>723747</v>
      </c>
      <c r="E142" t="s">
        <v>13</v>
      </c>
      <c r="F142">
        <v>34.267000000000003</v>
      </c>
      <c r="G142">
        <v>-110</v>
      </c>
      <c r="H142">
        <v>-7</v>
      </c>
      <c r="I142">
        <v>1954</v>
      </c>
      <c r="J142" t="str">
        <f>HYPERLINK("https://climate.onebuilding.org/WMO_Region_4_North_and_Central_America/USA_United_States_of_America/AZ_Arizona/USA_AZ_Show.Low.Rgnl.AP.723747_TMY3.zip")</f>
        <v>https://climate.onebuilding.org/WMO_Region_4_North_and_Central_America/USA_United_States_of_America/AZ_Arizona/USA_AZ_Show.Low.Rgnl.AP.723747_TMY3.zip</v>
      </c>
    </row>
    <row r="143" spans="1:10" x14ac:dyDescent="0.25">
      <c r="A143" t="s">
        <v>15</v>
      </c>
      <c r="B143" t="s">
        <v>151</v>
      </c>
      <c r="C143" t="s">
        <v>166</v>
      </c>
      <c r="D143">
        <v>722740</v>
      </c>
      <c r="E143" t="s">
        <v>13</v>
      </c>
      <c r="F143">
        <v>32.133000000000003</v>
      </c>
      <c r="G143">
        <v>-110.95</v>
      </c>
      <c r="H143">
        <v>-7</v>
      </c>
      <c r="I143">
        <v>777</v>
      </c>
      <c r="J143" t="str">
        <f>HYPERLINK("https://climate.onebuilding.org/WMO_Region_4_North_and_Central_America/USA_United_States_of_America/AZ_Arizona/USA_AZ_Tucson.Intl.AP.722740_TMY3.zip")</f>
        <v>https://climate.onebuilding.org/WMO_Region_4_North_and_Central_America/USA_United_States_of_America/AZ_Arizona/USA_AZ_Tucson.Intl.AP.722740_TMY3.zip</v>
      </c>
    </row>
    <row r="144" spans="1:10" x14ac:dyDescent="0.25">
      <c r="A144" t="s">
        <v>15</v>
      </c>
      <c r="B144" t="s">
        <v>151</v>
      </c>
      <c r="C144" t="s">
        <v>167</v>
      </c>
      <c r="D144">
        <v>723740</v>
      </c>
      <c r="E144" t="s">
        <v>13</v>
      </c>
      <c r="F144">
        <v>35.033000000000001</v>
      </c>
      <c r="G144">
        <v>-110.717</v>
      </c>
      <c r="H144">
        <v>-7</v>
      </c>
      <c r="I144">
        <v>1490</v>
      </c>
      <c r="J144" t="str">
        <f>HYPERLINK("https://climate.onebuilding.org/WMO_Region_4_North_and_Central_America/USA_United_States_of_America/AZ_Arizona/USA_AZ_Winslow-Lindberg.Rgnl.AP.723740_TMY3.zip")</f>
        <v>https://climate.onebuilding.org/WMO_Region_4_North_and_Central_America/USA_United_States_of_America/AZ_Arizona/USA_AZ_Winslow-Lindberg.Rgnl.AP.723740_TMY3.zip</v>
      </c>
    </row>
    <row r="145" spans="1:10" x14ac:dyDescent="0.25">
      <c r="A145" t="s">
        <v>15</v>
      </c>
      <c r="B145" t="s">
        <v>151</v>
      </c>
      <c r="C145" t="s">
        <v>168</v>
      </c>
      <c r="D145">
        <v>722800</v>
      </c>
      <c r="E145" t="s">
        <v>13</v>
      </c>
      <c r="F145">
        <v>32.667000000000002</v>
      </c>
      <c r="G145">
        <v>-114.6</v>
      </c>
      <c r="H145">
        <v>-7</v>
      </c>
      <c r="I145">
        <v>63</v>
      </c>
      <c r="J145" t="str">
        <f>HYPERLINK("https://climate.onebuilding.org/WMO_Region_4_North_and_Central_America/USA_United_States_of_America/AZ_Arizona/USA_AZ_Yuma.Intl.AP.722800_TMY3.zip")</f>
        <v>https://climate.onebuilding.org/WMO_Region_4_North_and_Central_America/USA_United_States_of_America/AZ_Arizona/USA_AZ_Yuma.Intl.AP.722800_TMY3.zip</v>
      </c>
    </row>
    <row r="146" spans="1:10" x14ac:dyDescent="0.25">
      <c r="A146" t="s">
        <v>15</v>
      </c>
      <c r="B146" t="s">
        <v>151</v>
      </c>
      <c r="C146" t="s">
        <v>169</v>
      </c>
      <c r="D146">
        <v>699604</v>
      </c>
      <c r="E146" t="s">
        <v>13</v>
      </c>
      <c r="F146">
        <v>32.65</v>
      </c>
      <c r="G146">
        <v>-114.617</v>
      </c>
      <c r="H146">
        <v>-7</v>
      </c>
      <c r="I146">
        <v>65</v>
      </c>
      <c r="J146" t="str">
        <f>HYPERLINK("https://climate.onebuilding.org/WMO_Region_4_North_and_Central_America/USA_United_States_of_America/AZ_Arizona/USA_AZ_Yuma-MCAS.Yuma.699604_TMY3.zip")</f>
        <v>https://climate.onebuilding.org/WMO_Region_4_North_and_Central_America/USA_United_States_of_America/AZ_Arizona/USA_AZ_Yuma-MCAS.Yuma.699604_TMY3.zip</v>
      </c>
    </row>
    <row r="147" spans="1:10" x14ac:dyDescent="0.25">
      <c r="A147" t="s">
        <v>15</v>
      </c>
      <c r="B147" t="s">
        <v>170</v>
      </c>
      <c r="C147" t="s">
        <v>171</v>
      </c>
      <c r="D147">
        <v>725958</v>
      </c>
      <c r="E147" t="s">
        <v>13</v>
      </c>
      <c r="F147">
        <v>41.48</v>
      </c>
      <c r="G147">
        <v>-120.565</v>
      </c>
      <c r="H147">
        <v>-8</v>
      </c>
      <c r="I147">
        <v>1341</v>
      </c>
      <c r="J147" t="str">
        <f>HYPERLINK("https://climate.onebuilding.org/WMO_Region_4_North_and_Central_America/USA_United_States_of_America/CA_California/USA_CA_Alturas.Muni.AP.725958_TMY3.zip")</f>
        <v>https://climate.onebuilding.org/WMO_Region_4_North_and_Central_America/USA_United_States_of_America/CA_California/USA_CA_Alturas.Muni.AP.725958_TMY3.zip</v>
      </c>
    </row>
    <row r="148" spans="1:10" x14ac:dyDescent="0.25">
      <c r="A148" t="s">
        <v>15</v>
      </c>
      <c r="B148" t="s">
        <v>170</v>
      </c>
      <c r="C148" t="s">
        <v>172</v>
      </c>
      <c r="D148">
        <v>725945</v>
      </c>
      <c r="E148" t="s">
        <v>13</v>
      </c>
      <c r="F148">
        <v>40.982999999999997</v>
      </c>
      <c r="G148">
        <v>-124.1</v>
      </c>
      <c r="H148">
        <v>-8</v>
      </c>
      <c r="I148">
        <v>62</v>
      </c>
      <c r="J148" t="str">
        <f>HYPERLINK("https://climate.onebuilding.org/WMO_Region_4_North_and_Central_America/USA_United_States_of_America/CA_California/USA_CA_Arcata-Eureka.AP.725945_TMY3.zip")</f>
        <v>https://climate.onebuilding.org/WMO_Region_4_North_and_Central_America/USA_United_States_of_America/CA_California/USA_CA_Arcata-Eureka.AP.725945_TMY3.zip</v>
      </c>
    </row>
    <row r="149" spans="1:10" x14ac:dyDescent="0.25">
      <c r="A149" t="s">
        <v>15</v>
      </c>
      <c r="B149" t="s">
        <v>170</v>
      </c>
      <c r="C149" t="s">
        <v>173</v>
      </c>
      <c r="D149">
        <v>723840</v>
      </c>
      <c r="E149" t="s">
        <v>13</v>
      </c>
      <c r="F149">
        <v>35.433</v>
      </c>
      <c r="G149">
        <v>-119.05</v>
      </c>
      <c r="H149">
        <v>-8</v>
      </c>
      <c r="I149">
        <v>149</v>
      </c>
      <c r="J149" t="str">
        <f>HYPERLINK("https://climate.onebuilding.org/WMO_Region_4_North_and_Central_America/USA_United_States_of_America/CA_California/USA_CA_Bakersfield-Meadows.Field.AP.723840_TMY3.zip")</f>
        <v>https://climate.onebuilding.org/WMO_Region_4_North_and_Central_America/USA_United_States_of_America/CA_California/USA_CA_Bakersfield-Meadows.Field.AP.723840_TMY3.zip</v>
      </c>
    </row>
    <row r="150" spans="1:10" x14ac:dyDescent="0.25">
      <c r="A150" t="s">
        <v>15</v>
      </c>
      <c r="B150" t="s">
        <v>170</v>
      </c>
      <c r="C150" t="s">
        <v>174</v>
      </c>
      <c r="D150">
        <v>723815</v>
      </c>
      <c r="E150" t="s">
        <v>13</v>
      </c>
      <c r="F150">
        <v>34.85</v>
      </c>
      <c r="G150">
        <v>-116.8</v>
      </c>
      <c r="H150">
        <v>-8</v>
      </c>
      <c r="I150">
        <v>586</v>
      </c>
      <c r="J150" t="str">
        <f>HYPERLINK("https://climate.onebuilding.org/WMO_Region_4_North_and_Central_America/USA_United_States_of_America/CA_California/USA_CA_Barstow-Daggett.AP.723815_TMY3.zip")</f>
        <v>https://climate.onebuilding.org/WMO_Region_4_North_and_Central_America/USA_United_States_of_America/CA_California/USA_CA_Barstow-Daggett.AP.723815_TMY3.zip</v>
      </c>
    </row>
    <row r="151" spans="1:10" x14ac:dyDescent="0.25">
      <c r="A151" t="s">
        <v>15</v>
      </c>
      <c r="B151" t="s">
        <v>170</v>
      </c>
      <c r="C151" t="s">
        <v>175</v>
      </c>
      <c r="D151">
        <v>724837</v>
      </c>
      <c r="E151" t="s">
        <v>13</v>
      </c>
      <c r="F151">
        <v>39.133000000000003</v>
      </c>
      <c r="G151">
        <v>-121.43300000000001</v>
      </c>
      <c r="H151">
        <v>-8</v>
      </c>
      <c r="I151">
        <v>38</v>
      </c>
      <c r="J151" t="str">
        <f>HYPERLINK("https://climate.onebuilding.org/WMO_Region_4_North_and_Central_America/USA_United_States_of_America/CA_California/USA_CA_Beale.AFB.724837_TMY3.zip")</f>
        <v>https://climate.onebuilding.org/WMO_Region_4_North_and_Central_America/USA_United_States_of_America/CA_California/USA_CA_Beale.AFB.724837_TMY3.zip</v>
      </c>
    </row>
    <row r="152" spans="1:10" x14ac:dyDescent="0.25">
      <c r="A152" t="s">
        <v>15</v>
      </c>
      <c r="B152" t="s">
        <v>170</v>
      </c>
      <c r="C152" t="s">
        <v>176</v>
      </c>
      <c r="D152">
        <v>724800</v>
      </c>
      <c r="E152" t="s">
        <v>13</v>
      </c>
      <c r="F152">
        <v>37.366999999999997</v>
      </c>
      <c r="G152">
        <v>-118.35</v>
      </c>
      <c r="H152">
        <v>-8</v>
      </c>
      <c r="I152">
        <v>1250</v>
      </c>
      <c r="J152" t="str">
        <f>HYPERLINK("https://climate.onebuilding.org/WMO_Region_4_North_and_Central_America/USA_United_States_of_America/CA_California/USA_CA_Bishop-Eastern.Sierra.Rgnl.AP.724800_TMY3.zip")</f>
        <v>https://climate.onebuilding.org/WMO_Region_4_North_and_Central_America/USA_United_States_of_America/CA_California/USA_CA_Bishop-Eastern.Sierra.Rgnl.AP.724800_TMY3.zip</v>
      </c>
    </row>
    <row r="153" spans="1:10" x14ac:dyDescent="0.25">
      <c r="A153" t="s">
        <v>15</v>
      </c>
      <c r="B153" t="s">
        <v>170</v>
      </c>
      <c r="C153" t="s">
        <v>177</v>
      </c>
      <c r="D153">
        <v>725845</v>
      </c>
      <c r="E153" t="s">
        <v>13</v>
      </c>
      <c r="F153">
        <v>39.270000000000003</v>
      </c>
      <c r="G153">
        <v>-120.71</v>
      </c>
      <c r="H153">
        <v>-8</v>
      </c>
      <c r="I153">
        <v>1609</v>
      </c>
      <c r="J153" t="str">
        <f>HYPERLINK("https://climate.onebuilding.org/WMO_Region_4_North_and_Central_America/USA_United_States_of_America/CA_California/USA_CA_Blue.Canyon-Nyack.AP.725845_TMY3.zip")</f>
        <v>https://climate.onebuilding.org/WMO_Region_4_North_and_Central_America/USA_United_States_of_America/CA_California/USA_CA_Blue.Canyon-Nyack.AP.725845_TMY3.zip</v>
      </c>
    </row>
    <row r="154" spans="1:10" x14ac:dyDescent="0.25">
      <c r="A154" t="s">
        <v>15</v>
      </c>
      <c r="B154" t="s">
        <v>170</v>
      </c>
      <c r="C154" t="s">
        <v>178</v>
      </c>
      <c r="D154">
        <v>747188</v>
      </c>
      <c r="E154" t="s">
        <v>13</v>
      </c>
      <c r="F154">
        <v>33.616999999999997</v>
      </c>
      <c r="G154">
        <v>-114.717</v>
      </c>
      <c r="H154">
        <v>-8</v>
      </c>
      <c r="I154">
        <v>119</v>
      </c>
      <c r="J154" t="str">
        <f>HYPERLINK("https://climate.onebuilding.org/WMO_Region_4_North_and_Central_America/USA_United_States_of_America/CA_California/USA_CA_Blythe.AP.747188_TMY3.zip")</f>
        <v>https://climate.onebuilding.org/WMO_Region_4_North_and_Central_America/USA_United_States_of_America/CA_California/USA_CA_Blythe.AP.747188_TMY3.zip</v>
      </c>
    </row>
    <row r="155" spans="1:10" x14ac:dyDescent="0.25">
      <c r="A155" t="s">
        <v>15</v>
      </c>
      <c r="B155" t="s">
        <v>170</v>
      </c>
      <c r="C155" t="s">
        <v>179</v>
      </c>
      <c r="D155">
        <v>722880</v>
      </c>
      <c r="E155" t="s">
        <v>13</v>
      </c>
      <c r="F155">
        <v>34.200000000000003</v>
      </c>
      <c r="G155">
        <v>-118.35</v>
      </c>
      <c r="H155">
        <v>-8</v>
      </c>
      <c r="I155">
        <v>226</v>
      </c>
      <c r="J155" t="str">
        <f>HYPERLINK("https://climate.onebuilding.org/WMO_Region_4_North_and_Central_America/USA_United_States_of_America/CA_California/USA_CA_Burbank-Hope.AP.722880_TMY3.zip")</f>
        <v>https://climate.onebuilding.org/WMO_Region_4_North_and_Central_America/USA_United_States_of_America/CA_California/USA_CA_Burbank-Hope.AP.722880_TMY3.zip</v>
      </c>
    </row>
    <row r="156" spans="1:10" x14ac:dyDescent="0.25">
      <c r="A156" t="s">
        <v>15</v>
      </c>
      <c r="B156" t="s">
        <v>170</v>
      </c>
      <c r="C156" t="s">
        <v>180</v>
      </c>
      <c r="D156">
        <v>723926</v>
      </c>
      <c r="E156" t="s">
        <v>13</v>
      </c>
      <c r="F156">
        <v>34.216999999999999</v>
      </c>
      <c r="G156">
        <v>-119.083</v>
      </c>
      <c r="H156">
        <v>-8</v>
      </c>
      <c r="I156">
        <v>23</v>
      </c>
      <c r="J156" t="str">
        <f>HYPERLINK("https://climate.onebuilding.org/WMO_Region_4_North_and_Central_America/USA_United_States_of_America/CA_California/USA_CA_Camarillo.AP.723926_TMY3.zip")</f>
        <v>https://climate.onebuilding.org/WMO_Region_4_North_and_Central_America/USA_United_States_of_America/CA_California/USA_CA_Camarillo.AP.723926_TMY3.zip</v>
      </c>
    </row>
    <row r="157" spans="1:10" x14ac:dyDescent="0.25">
      <c r="A157" t="s">
        <v>15</v>
      </c>
      <c r="B157" t="s">
        <v>170</v>
      </c>
      <c r="C157" t="s">
        <v>181</v>
      </c>
      <c r="D157">
        <v>722926</v>
      </c>
      <c r="E157" t="s">
        <v>13</v>
      </c>
      <c r="F157">
        <v>33.299999999999997</v>
      </c>
      <c r="G157">
        <v>-117.35</v>
      </c>
      <c r="H157">
        <v>-8</v>
      </c>
      <c r="I157">
        <v>23</v>
      </c>
      <c r="J157" t="str">
        <f>HYPERLINK("https://climate.onebuilding.org/WMO_Region_4_North_and_Central_America/USA_United_States_of_America/CA_California/USA_CA_MCAS.Camp.Pendleton.722926_TMY3.zip")</f>
        <v>https://climate.onebuilding.org/WMO_Region_4_North_and_Central_America/USA_United_States_of_America/CA_California/USA_CA_MCAS.Camp.Pendleton.722926_TMY3.zip</v>
      </c>
    </row>
    <row r="158" spans="1:10" x14ac:dyDescent="0.25">
      <c r="A158" t="s">
        <v>15</v>
      </c>
      <c r="B158" t="s">
        <v>170</v>
      </c>
      <c r="C158" t="s">
        <v>182</v>
      </c>
      <c r="D158">
        <v>722927</v>
      </c>
      <c r="E158" t="s">
        <v>13</v>
      </c>
      <c r="F158">
        <v>33.133000000000003</v>
      </c>
      <c r="G158">
        <v>-117.283</v>
      </c>
      <c r="H158">
        <v>-8</v>
      </c>
      <c r="I158">
        <v>100</v>
      </c>
      <c r="J158" t="str">
        <f>HYPERLINK("https://climate.onebuilding.org/WMO_Region_4_North_and_Central_America/USA_United_States_of_America/CA_California/USA_CA_Carlsbad-McClellan-Palomar.AP.722927_TMY3.zip")</f>
        <v>https://climate.onebuilding.org/WMO_Region_4_North_and_Central_America/USA_United_States_of_America/CA_California/USA_CA_Carlsbad-McClellan-Palomar.AP.722927_TMY3.zip</v>
      </c>
    </row>
    <row r="159" spans="1:10" x14ac:dyDescent="0.25">
      <c r="A159" t="s">
        <v>15</v>
      </c>
      <c r="B159" t="s">
        <v>170</v>
      </c>
      <c r="C159" t="s">
        <v>183</v>
      </c>
      <c r="D159">
        <v>746120</v>
      </c>
      <c r="E159" t="s">
        <v>13</v>
      </c>
      <c r="F159">
        <v>35.683</v>
      </c>
      <c r="G159">
        <v>-117.68300000000001</v>
      </c>
      <c r="H159">
        <v>-8</v>
      </c>
      <c r="I159">
        <v>677</v>
      </c>
      <c r="J159" t="str">
        <f>HYPERLINK("https://climate.onebuilding.org/WMO_Region_4_North_and_Central_America/USA_United_States_of_America/CA_California/USA_CA_NAWS.China.Lake.746120_TMY3.zip")</f>
        <v>https://climate.onebuilding.org/WMO_Region_4_North_and_Central_America/USA_United_States_of_America/CA_California/USA_CA_NAWS.China.Lake.746120_TMY3.zip</v>
      </c>
    </row>
    <row r="160" spans="1:10" x14ac:dyDescent="0.25">
      <c r="A160" t="s">
        <v>15</v>
      </c>
      <c r="B160" t="s">
        <v>170</v>
      </c>
      <c r="C160" t="s">
        <v>184</v>
      </c>
      <c r="D160">
        <v>722899</v>
      </c>
      <c r="E160" t="s">
        <v>13</v>
      </c>
      <c r="F160">
        <v>33.966999999999999</v>
      </c>
      <c r="G160">
        <v>-117.633</v>
      </c>
      <c r="H160">
        <v>-8</v>
      </c>
      <c r="I160">
        <v>198</v>
      </c>
      <c r="J160" t="str">
        <f>HYPERLINK("https://climate.onebuilding.org/WMO_Region_4_North_and_Central_America/USA_United_States_of_America/CA_California/USA_CA_Chino.AP.722899_TMY3.zip")</f>
        <v>https://climate.onebuilding.org/WMO_Region_4_North_and_Central_America/USA_United_States_of_America/CA_California/USA_CA_Chino.AP.722899_TMY3.zip</v>
      </c>
    </row>
    <row r="161" spans="1:10" x14ac:dyDescent="0.25">
      <c r="A161" t="s">
        <v>15</v>
      </c>
      <c r="B161" t="s">
        <v>170</v>
      </c>
      <c r="C161" t="s">
        <v>185</v>
      </c>
      <c r="D161">
        <v>722904</v>
      </c>
      <c r="E161" t="s">
        <v>13</v>
      </c>
      <c r="F161">
        <v>32.582999999999998</v>
      </c>
      <c r="G161">
        <v>-116.983</v>
      </c>
      <c r="H161">
        <v>-8</v>
      </c>
      <c r="I161">
        <v>159</v>
      </c>
      <c r="J161" t="str">
        <f>HYPERLINK("https://climate.onebuilding.org/WMO_Region_4_North_and_Central_America/USA_United_States_of_America/CA_California/USA_CA_Chula.Vista-Brown.Muni.Field.AP.722904_TMY3.zip")</f>
        <v>https://climate.onebuilding.org/WMO_Region_4_North_and_Central_America/USA_United_States_of_America/CA_California/USA_CA_Chula.Vista-Brown.Muni.Field.AP.722904_TMY3.zip</v>
      </c>
    </row>
    <row r="162" spans="1:10" x14ac:dyDescent="0.25">
      <c r="A162" t="s">
        <v>15</v>
      </c>
      <c r="B162" t="s">
        <v>170</v>
      </c>
      <c r="C162" t="s">
        <v>186</v>
      </c>
      <c r="D162">
        <v>724936</v>
      </c>
      <c r="E162" t="s">
        <v>13</v>
      </c>
      <c r="F162">
        <v>38</v>
      </c>
      <c r="G162">
        <v>-122.05</v>
      </c>
      <c r="H162">
        <v>-8</v>
      </c>
      <c r="I162">
        <v>7</v>
      </c>
      <c r="J162" t="str">
        <f>HYPERLINK("https://climate.onebuilding.org/WMO_Region_4_North_and_Central_America/USA_United_States_of_America/CA_California/USA_CA_Concord-Buchanan.Field.AP.724936_TMY3.zip")</f>
        <v>https://climate.onebuilding.org/WMO_Region_4_North_and_Central_America/USA_United_States_of_America/CA_California/USA_CA_Concord-Buchanan.Field.AP.724936_TMY3.zip</v>
      </c>
    </row>
    <row r="163" spans="1:10" x14ac:dyDescent="0.25">
      <c r="A163" t="s">
        <v>15</v>
      </c>
      <c r="B163" t="s">
        <v>170</v>
      </c>
      <c r="C163" t="s">
        <v>187</v>
      </c>
      <c r="D163">
        <v>725946</v>
      </c>
      <c r="E163" t="s">
        <v>13</v>
      </c>
      <c r="F163">
        <v>41.783000000000001</v>
      </c>
      <c r="G163">
        <v>-124.233</v>
      </c>
      <c r="H163">
        <v>-8</v>
      </c>
      <c r="I163">
        <v>17</v>
      </c>
      <c r="J163" t="str">
        <f>HYPERLINK("https://climate.onebuilding.org/WMO_Region_4_North_and_Central_America/USA_United_States_of_America/CA_California/USA_CA_Crescent.City-Del.Norte.County.AP-McNamara.Field.725946_TMY3.zip")</f>
        <v>https://climate.onebuilding.org/WMO_Region_4_North_and_Central_America/USA_United_States_of_America/CA_California/USA_CA_Crescent.City-Del.Norte.County.AP-McNamara.Field.725946_TMY3.zip</v>
      </c>
    </row>
    <row r="164" spans="1:10" x14ac:dyDescent="0.25">
      <c r="A164" t="s">
        <v>15</v>
      </c>
      <c r="B164" t="s">
        <v>170</v>
      </c>
      <c r="C164" t="s">
        <v>188</v>
      </c>
      <c r="D164">
        <v>723810</v>
      </c>
      <c r="E164" t="s">
        <v>13</v>
      </c>
      <c r="F164">
        <v>34.9</v>
      </c>
      <c r="G164">
        <v>-117.867</v>
      </c>
      <c r="H164">
        <v>-8</v>
      </c>
      <c r="I164">
        <v>706</v>
      </c>
      <c r="J164" t="str">
        <f>HYPERLINK("https://climate.onebuilding.org/WMO_Region_4_North_and_Central_America/USA_United_States_of_America/CA_California/USA_CA_Edwards.AFB.723810_TMY3.zip")</f>
        <v>https://climate.onebuilding.org/WMO_Region_4_North_and_Central_America/USA_United_States_of_America/CA_California/USA_CA_Edwards.AFB.723810_TMY3.zip</v>
      </c>
    </row>
    <row r="165" spans="1:10" x14ac:dyDescent="0.25">
      <c r="A165" t="s">
        <v>15</v>
      </c>
      <c r="B165" t="s">
        <v>170</v>
      </c>
      <c r="C165" t="s">
        <v>189</v>
      </c>
      <c r="D165">
        <v>745160</v>
      </c>
      <c r="E165" t="s">
        <v>13</v>
      </c>
      <c r="F165">
        <v>38.267000000000003</v>
      </c>
      <c r="G165">
        <v>-121.93300000000001</v>
      </c>
      <c r="H165">
        <v>-8</v>
      </c>
      <c r="I165">
        <v>18</v>
      </c>
      <c r="J165" t="str">
        <f>HYPERLINK("https://climate.onebuilding.org/WMO_Region_4_North_and_Central_America/USA_United_States_of_America/CA_California/USA_CA_Fairfield-Travis.AFB.745160_TMY3.zip")</f>
        <v>https://climate.onebuilding.org/WMO_Region_4_North_and_Central_America/USA_United_States_of_America/CA_California/USA_CA_Fairfield-Travis.AFB.745160_TMY3.zip</v>
      </c>
    </row>
    <row r="166" spans="1:10" x14ac:dyDescent="0.25">
      <c r="A166" t="s">
        <v>15</v>
      </c>
      <c r="B166" t="s">
        <v>170</v>
      </c>
      <c r="C166" t="s">
        <v>190</v>
      </c>
      <c r="D166">
        <v>723890</v>
      </c>
      <c r="E166" t="s">
        <v>13</v>
      </c>
      <c r="F166">
        <v>36.783000000000001</v>
      </c>
      <c r="G166">
        <v>-119.717</v>
      </c>
      <c r="H166">
        <v>-8</v>
      </c>
      <c r="I166">
        <v>102</v>
      </c>
      <c r="J166" t="str">
        <f>HYPERLINK("https://climate.onebuilding.org/WMO_Region_4_North_and_Central_America/USA_United_States_of_America/CA_California/USA_CA_Fresno.Yosemite.Intl.AP.723890_TMY3.zip")</f>
        <v>https://climate.onebuilding.org/WMO_Region_4_North_and_Central_America/USA_United_States_of_America/CA_California/USA_CA_Fresno.Yosemite.Intl.AP.723890_TMY3.zip</v>
      </c>
    </row>
    <row r="167" spans="1:10" x14ac:dyDescent="0.25">
      <c r="A167" t="s">
        <v>15</v>
      </c>
      <c r="B167" t="s">
        <v>170</v>
      </c>
      <c r="C167" t="s">
        <v>191</v>
      </c>
      <c r="D167">
        <v>722976</v>
      </c>
      <c r="E167" t="s">
        <v>13</v>
      </c>
      <c r="F167">
        <v>33.866999999999997</v>
      </c>
      <c r="G167">
        <v>-117.983</v>
      </c>
      <c r="H167">
        <v>-8</v>
      </c>
      <c r="I167">
        <v>29</v>
      </c>
      <c r="J167" t="str">
        <f>HYPERLINK("https://climate.onebuilding.org/WMO_Region_4_North_and_Central_America/USA_United_States_of_America/CA_California/USA_CA_Fullerton.Muni.AP.722976_TMY3.zip")</f>
        <v>https://climate.onebuilding.org/WMO_Region_4_North_and_Central_America/USA_United_States_of_America/CA_California/USA_CA_Fullerton.Muni.AP.722976_TMY3.zip</v>
      </c>
    </row>
    <row r="168" spans="1:10" x14ac:dyDescent="0.25">
      <c r="A168" t="s">
        <v>15</v>
      </c>
      <c r="B168" t="s">
        <v>170</v>
      </c>
      <c r="C168" t="s">
        <v>192</v>
      </c>
      <c r="D168">
        <v>722956</v>
      </c>
      <c r="E168" t="s">
        <v>13</v>
      </c>
      <c r="F168">
        <v>33.917000000000002</v>
      </c>
      <c r="G168">
        <v>-118.333</v>
      </c>
      <c r="H168">
        <v>-8</v>
      </c>
      <c r="I168">
        <v>21</v>
      </c>
      <c r="J168" t="str">
        <f>HYPERLINK("https://climate.onebuilding.org/WMO_Region_4_North_and_Central_America/USA_United_States_of_America/CA_California/USA_CA_Hawthorne.Muni.AP-Northrop.Field.722956_TMY3.zip")</f>
        <v>https://climate.onebuilding.org/WMO_Region_4_North_and_Central_America/USA_United_States_of_America/CA_California/USA_CA_Hawthorne.Muni.AP-Northrop.Field.722956_TMY3.zip</v>
      </c>
    </row>
    <row r="169" spans="1:10" x14ac:dyDescent="0.25">
      <c r="A169" t="s">
        <v>15</v>
      </c>
      <c r="B169" t="s">
        <v>170</v>
      </c>
      <c r="C169" t="s">
        <v>193</v>
      </c>
      <c r="D169">
        <v>725850</v>
      </c>
      <c r="E169" t="s">
        <v>13</v>
      </c>
      <c r="F169">
        <v>37.667000000000002</v>
      </c>
      <c r="G169">
        <v>-122.117</v>
      </c>
      <c r="H169">
        <v>-8</v>
      </c>
      <c r="I169">
        <v>14</v>
      </c>
      <c r="J169" t="str">
        <f>HYPERLINK("https://climate.onebuilding.org/WMO_Region_4_North_and_Central_America/USA_United_States_of_America/CA_California/USA_CA_Hayward.Exec.AP.725850_TMY3.zip")</f>
        <v>https://climate.onebuilding.org/WMO_Region_4_North_and_Central_America/USA_United_States_of_America/CA_California/USA_CA_Hayward.Exec.AP.725850_TMY3.zip</v>
      </c>
    </row>
    <row r="170" spans="1:10" x14ac:dyDescent="0.25">
      <c r="A170" t="s">
        <v>15</v>
      </c>
      <c r="B170" t="s">
        <v>170</v>
      </c>
      <c r="C170" t="s">
        <v>194</v>
      </c>
      <c r="D170">
        <v>747185</v>
      </c>
      <c r="E170" t="s">
        <v>13</v>
      </c>
      <c r="F170">
        <v>32.832999999999998</v>
      </c>
      <c r="G170">
        <v>-115.583</v>
      </c>
      <c r="H170">
        <v>-8</v>
      </c>
      <c r="I170">
        <v>-17</v>
      </c>
      <c r="J170" t="str">
        <f>HYPERLINK("https://climate.onebuilding.org/WMO_Region_4_North_and_Central_America/USA_United_States_of_America/CA_California/USA_CA_Imperial.County.AP.747185_TMY3.zip")</f>
        <v>https://climate.onebuilding.org/WMO_Region_4_North_and_Central_America/USA_United_States_of_America/CA_California/USA_CA_Imperial.County.AP.747185_TMY3.zip</v>
      </c>
    </row>
    <row r="171" spans="1:10" x14ac:dyDescent="0.25">
      <c r="A171" t="s">
        <v>15</v>
      </c>
      <c r="B171" t="s">
        <v>170</v>
      </c>
      <c r="C171" t="s">
        <v>195</v>
      </c>
      <c r="D171">
        <v>723816</v>
      </c>
      <c r="E171" t="s">
        <v>13</v>
      </c>
      <c r="F171">
        <v>34.732999999999997</v>
      </c>
      <c r="G171">
        <v>-118.217</v>
      </c>
      <c r="H171">
        <v>-8</v>
      </c>
      <c r="I171">
        <v>713</v>
      </c>
      <c r="J171" t="str">
        <f>HYPERLINK("https://climate.onebuilding.org/WMO_Region_4_North_and_Central_America/USA_United_States_of_America/CA_California/USA_CA_Lancaster-Fox.Field.723816_TMY3.zip")</f>
        <v>https://climate.onebuilding.org/WMO_Region_4_North_and_Central_America/USA_United_States_of_America/CA_California/USA_CA_Lancaster-Fox.Field.723816_TMY3.zip</v>
      </c>
    </row>
    <row r="172" spans="1:10" x14ac:dyDescent="0.25">
      <c r="A172" t="s">
        <v>15</v>
      </c>
      <c r="B172" t="s">
        <v>170</v>
      </c>
      <c r="C172" t="s">
        <v>196</v>
      </c>
      <c r="D172">
        <v>747020</v>
      </c>
      <c r="E172" t="s">
        <v>13</v>
      </c>
      <c r="F172">
        <v>36.332999999999998</v>
      </c>
      <c r="G172">
        <v>-119.95</v>
      </c>
      <c r="H172">
        <v>-8</v>
      </c>
      <c r="I172">
        <v>73</v>
      </c>
      <c r="J172" t="str">
        <f>HYPERLINK("https://climate.onebuilding.org/WMO_Region_4_North_and_Central_America/USA_United_States_of_America/CA_California/USA_CA_NAS.Lemoore.747020_TMY3.zip")</f>
        <v>https://climate.onebuilding.org/WMO_Region_4_North_and_Central_America/USA_United_States_of_America/CA_California/USA_CA_NAS.Lemoore.747020_TMY3.zip</v>
      </c>
    </row>
    <row r="173" spans="1:10" x14ac:dyDescent="0.25">
      <c r="A173" t="s">
        <v>15</v>
      </c>
      <c r="B173" t="s">
        <v>170</v>
      </c>
      <c r="C173" t="s">
        <v>197</v>
      </c>
      <c r="D173">
        <v>724927</v>
      </c>
      <c r="E173" t="s">
        <v>13</v>
      </c>
      <c r="F173">
        <v>37.700000000000003</v>
      </c>
      <c r="G173">
        <v>-121.81699999999999</v>
      </c>
      <c r="H173">
        <v>-8</v>
      </c>
      <c r="I173">
        <v>121</v>
      </c>
      <c r="J173" t="str">
        <f>HYPERLINK("https://climate.onebuilding.org/WMO_Region_4_North_and_Central_America/USA_United_States_of_America/CA_California/USA_CA_Livermore.Muni.AP.724927_TMY3.zip")</f>
        <v>https://climate.onebuilding.org/WMO_Region_4_North_and_Central_America/USA_United_States_of_America/CA_California/USA_CA_Livermore.Muni.AP.724927_TMY3.zip</v>
      </c>
    </row>
    <row r="174" spans="1:10" x14ac:dyDescent="0.25">
      <c r="A174" t="s">
        <v>15</v>
      </c>
      <c r="B174" t="s">
        <v>170</v>
      </c>
      <c r="C174" t="s">
        <v>198</v>
      </c>
      <c r="D174">
        <v>722895</v>
      </c>
      <c r="E174" t="s">
        <v>13</v>
      </c>
      <c r="F174">
        <v>34.667000000000002</v>
      </c>
      <c r="G174">
        <v>-120.467</v>
      </c>
      <c r="H174">
        <v>-8</v>
      </c>
      <c r="I174">
        <v>27</v>
      </c>
      <c r="J174" t="str">
        <f>HYPERLINK("https://climate.onebuilding.org/WMO_Region_4_North_and_Central_America/USA_United_States_of_America/CA_California/USA_CA_Lompoc.AP.722895_TMY3.zip")</f>
        <v>https://climate.onebuilding.org/WMO_Region_4_North_and_Central_America/USA_United_States_of_America/CA_California/USA_CA_Lompoc.AP.722895_TMY3.zip</v>
      </c>
    </row>
    <row r="175" spans="1:10" x14ac:dyDescent="0.25">
      <c r="A175" t="s">
        <v>15</v>
      </c>
      <c r="B175" t="s">
        <v>170</v>
      </c>
      <c r="C175" t="s">
        <v>199</v>
      </c>
      <c r="D175">
        <v>722970</v>
      </c>
      <c r="E175" t="s">
        <v>13</v>
      </c>
      <c r="F175">
        <v>33.832999999999998</v>
      </c>
      <c r="G175">
        <v>-118.167</v>
      </c>
      <c r="H175">
        <v>-8</v>
      </c>
      <c r="I175">
        <v>8</v>
      </c>
      <c r="J175" t="str">
        <f>HYPERLINK("https://climate.onebuilding.org/WMO_Region_4_North_and_Central_America/USA_United_States_of_America/CA_California/USA_CA_Long.Beach.AP.722970_TMY3.zip")</f>
        <v>https://climate.onebuilding.org/WMO_Region_4_North_and_Central_America/USA_United_States_of_America/CA_California/USA_CA_Long.Beach.AP.722970_TMY3.zip</v>
      </c>
    </row>
    <row r="176" spans="1:10" x14ac:dyDescent="0.25">
      <c r="A176" t="s">
        <v>15</v>
      </c>
      <c r="B176" t="s">
        <v>170</v>
      </c>
      <c r="C176" t="s">
        <v>200</v>
      </c>
      <c r="D176">
        <v>722950</v>
      </c>
      <c r="E176" t="s">
        <v>13</v>
      </c>
      <c r="F176">
        <v>33.933</v>
      </c>
      <c r="G176">
        <v>-118.4</v>
      </c>
      <c r="H176">
        <v>-8</v>
      </c>
      <c r="I176">
        <v>30</v>
      </c>
      <c r="J176" t="str">
        <f>HYPERLINK("https://climate.onebuilding.org/WMO_Region_4_North_and_Central_America/USA_United_States_of_America/CA_California/USA_CA_Los.Angeles.Intl.AP.722950_TMY3.zip")</f>
        <v>https://climate.onebuilding.org/WMO_Region_4_North_and_Central_America/USA_United_States_of_America/CA_California/USA_CA_Los.Angeles.Intl.AP.722950_TMY3.zip</v>
      </c>
    </row>
    <row r="177" spans="1:10" x14ac:dyDescent="0.25">
      <c r="A177" t="s">
        <v>15</v>
      </c>
      <c r="B177" t="s">
        <v>170</v>
      </c>
      <c r="C177" t="s">
        <v>201</v>
      </c>
      <c r="D177">
        <v>722860</v>
      </c>
      <c r="E177" t="s">
        <v>13</v>
      </c>
      <c r="F177">
        <v>33.9</v>
      </c>
      <c r="G177">
        <v>-117.25</v>
      </c>
      <c r="H177">
        <v>-8</v>
      </c>
      <c r="I177">
        <v>462</v>
      </c>
      <c r="J177" t="str">
        <f>HYPERLINK("https://climate.onebuilding.org/WMO_Region_4_North_and_Central_America/USA_United_States_of_America/CA_California/USA_CA_Riverside-March.ARB.722860_TMY3.zip")</f>
        <v>https://climate.onebuilding.org/WMO_Region_4_North_and_Central_America/USA_United_States_of_America/CA_California/USA_CA_Riverside-March.ARB.722860_TMY3.zip</v>
      </c>
    </row>
    <row r="178" spans="1:10" x14ac:dyDescent="0.25">
      <c r="A178" t="s">
        <v>15</v>
      </c>
      <c r="B178" t="s">
        <v>170</v>
      </c>
      <c r="C178" t="s">
        <v>202</v>
      </c>
      <c r="D178">
        <v>724815</v>
      </c>
      <c r="E178" t="s">
        <v>13</v>
      </c>
      <c r="F178">
        <v>37.283000000000001</v>
      </c>
      <c r="G178">
        <v>-120.517</v>
      </c>
      <c r="H178">
        <v>-8</v>
      </c>
      <c r="I178">
        <v>47</v>
      </c>
      <c r="J178" t="str">
        <f>HYPERLINK("https://climate.onebuilding.org/WMO_Region_4_North_and_Central_America/USA_United_States_of_America/CA_California/USA_CA_Merced.Rgnl.AP-Macready.Field.724815_TMY3.zip")</f>
        <v>https://climate.onebuilding.org/WMO_Region_4_North_and_Central_America/USA_United_States_of_America/CA_California/USA_CA_Merced.Rgnl.AP-Macready.Field.724815_TMY3.zip</v>
      </c>
    </row>
    <row r="179" spans="1:10" x14ac:dyDescent="0.25">
      <c r="A179" t="s">
        <v>15</v>
      </c>
      <c r="B179" t="s">
        <v>170</v>
      </c>
      <c r="C179" t="s">
        <v>203</v>
      </c>
      <c r="D179">
        <v>724926</v>
      </c>
      <c r="E179" t="s">
        <v>13</v>
      </c>
      <c r="F179">
        <v>37.633000000000003</v>
      </c>
      <c r="G179">
        <v>-120.95</v>
      </c>
      <c r="H179">
        <v>-8</v>
      </c>
      <c r="I179">
        <v>30</v>
      </c>
      <c r="J179" t="str">
        <f>HYPERLINK("https://climate.onebuilding.org/WMO_Region_4_North_and_Central_America/USA_United_States_of_America/CA_California/USA_CA_Modesto.City-County.AP.724926_TMY3.zip")</f>
        <v>https://climate.onebuilding.org/WMO_Region_4_North_and_Central_America/USA_United_States_of_America/CA_California/USA_CA_Modesto.City-County.AP.724926_TMY3.zip</v>
      </c>
    </row>
    <row r="180" spans="1:10" x14ac:dyDescent="0.25">
      <c r="A180" t="s">
        <v>15</v>
      </c>
      <c r="B180" t="s">
        <v>170</v>
      </c>
      <c r="C180" t="s">
        <v>204</v>
      </c>
      <c r="D180">
        <v>725955</v>
      </c>
      <c r="E180" t="s">
        <v>13</v>
      </c>
      <c r="F180">
        <v>41.783000000000001</v>
      </c>
      <c r="G180">
        <v>-122.467</v>
      </c>
      <c r="H180">
        <v>-8</v>
      </c>
      <c r="I180">
        <v>803</v>
      </c>
      <c r="J180" t="str">
        <f>HYPERLINK("https://climate.onebuilding.org/WMO_Region_4_North_and_Central_America/USA_United_States_of_America/CA_California/USA_CA_Montague-Siskiyou.County.AP.725955_TMY3.zip")</f>
        <v>https://climate.onebuilding.org/WMO_Region_4_North_and_Central_America/USA_United_States_of_America/CA_California/USA_CA_Montague-Siskiyou.County.AP.725955_TMY3.zip</v>
      </c>
    </row>
    <row r="181" spans="1:10" x14ac:dyDescent="0.25">
      <c r="A181" t="s">
        <v>15</v>
      </c>
      <c r="B181" t="s">
        <v>170</v>
      </c>
      <c r="C181" t="s">
        <v>205</v>
      </c>
      <c r="D181">
        <v>724915</v>
      </c>
      <c r="E181" t="s">
        <v>13</v>
      </c>
      <c r="F181">
        <v>36.585999999999999</v>
      </c>
      <c r="G181">
        <v>-121.845</v>
      </c>
      <c r="H181">
        <v>-8</v>
      </c>
      <c r="I181">
        <v>50</v>
      </c>
      <c r="J181" t="str">
        <f>HYPERLINK("https://climate.onebuilding.org/WMO_Region_4_North_and_Central_America/USA_United_States_of_America/CA_California/USA_CA_Monterey.Rgnl.AP.724915_TMY3.zip")</f>
        <v>https://climate.onebuilding.org/WMO_Region_4_North_and_Central_America/USA_United_States_of_America/CA_California/USA_CA_Monterey.Rgnl.AP.724915_TMY3.zip</v>
      </c>
    </row>
    <row r="182" spans="1:10" x14ac:dyDescent="0.25">
      <c r="A182" t="s">
        <v>15</v>
      </c>
      <c r="B182" t="s">
        <v>170</v>
      </c>
      <c r="C182" t="s">
        <v>206</v>
      </c>
      <c r="D182">
        <v>745090</v>
      </c>
      <c r="E182" t="s">
        <v>13</v>
      </c>
      <c r="F182">
        <v>37.4</v>
      </c>
      <c r="G182">
        <v>-122.05</v>
      </c>
      <c r="H182">
        <v>-8</v>
      </c>
      <c r="I182">
        <v>12</v>
      </c>
      <c r="J182" t="str">
        <f>HYPERLINK("https://climate.onebuilding.org/WMO_Region_4_North_and_Central_America/USA_United_States_of_America/CA_California/USA_CA_Mountain.View-Moffett.Federal.Field.745090_TMY3.zip")</f>
        <v>https://climate.onebuilding.org/WMO_Region_4_North_and_Central_America/USA_United_States_of_America/CA_California/USA_CA_Mountain.View-Moffett.Federal.Field.745090_TMY3.zip</v>
      </c>
    </row>
    <row r="183" spans="1:10" x14ac:dyDescent="0.25">
      <c r="A183" t="s">
        <v>15</v>
      </c>
      <c r="B183" t="s">
        <v>170</v>
      </c>
      <c r="C183" t="s">
        <v>207</v>
      </c>
      <c r="D183">
        <v>724955</v>
      </c>
      <c r="E183" t="s">
        <v>13</v>
      </c>
      <c r="F183">
        <v>38.216999999999999</v>
      </c>
      <c r="G183">
        <v>-122.283</v>
      </c>
      <c r="H183">
        <v>-8</v>
      </c>
      <c r="I183">
        <v>10</v>
      </c>
      <c r="J183" t="str">
        <f>HYPERLINK("https://climate.onebuilding.org/WMO_Region_4_North_and_Central_America/USA_United_States_of_America/CA_California/USA_CA_Napa.County.AP.724955_TMY3.zip")</f>
        <v>https://climate.onebuilding.org/WMO_Region_4_North_and_Central_America/USA_United_States_of_America/CA_California/USA_CA_Napa.County.AP.724955_TMY3.zip</v>
      </c>
    </row>
    <row r="184" spans="1:10" x14ac:dyDescent="0.25">
      <c r="A184" t="s">
        <v>15</v>
      </c>
      <c r="B184" t="s">
        <v>170</v>
      </c>
      <c r="C184" t="s">
        <v>208</v>
      </c>
      <c r="D184">
        <v>723805</v>
      </c>
      <c r="E184" t="s">
        <v>13</v>
      </c>
      <c r="F184">
        <v>34.767000000000003</v>
      </c>
      <c r="G184">
        <v>-114.617</v>
      </c>
      <c r="H184">
        <v>-8</v>
      </c>
      <c r="I184">
        <v>279</v>
      </c>
      <c r="J184" t="str">
        <f>HYPERLINK("https://climate.onebuilding.org/WMO_Region_4_North_and_Central_America/USA_United_States_of_America/CA_California/USA_CA_Needles.AP.723805_TMY3.zip")</f>
        <v>https://climate.onebuilding.org/WMO_Region_4_North_and_Central_America/USA_United_States_of_America/CA_California/USA_CA_Needles.AP.723805_TMY3.zip</v>
      </c>
    </row>
    <row r="185" spans="1:10" x14ac:dyDescent="0.25">
      <c r="A185" t="s">
        <v>15</v>
      </c>
      <c r="B185" t="s">
        <v>170</v>
      </c>
      <c r="C185" t="s">
        <v>209</v>
      </c>
      <c r="D185">
        <v>724930</v>
      </c>
      <c r="E185" t="s">
        <v>13</v>
      </c>
      <c r="F185">
        <v>37.716999999999999</v>
      </c>
      <c r="G185">
        <v>-122.217</v>
      </c>
      <c r="H185">
        <v>-8</v>
      </c>
      <c r="I185">
        <v>2</v>
      </c>
      <c r="J185" t="str">
        <f>HYPERLINK("https://climate.onebuilding.org/WMO_Region_4_North_and_Central_America/USA_United_States_of_America/CA_California/USA_CA_Oakland.Intl.AP.724930_TMY3.zip")</f>
        <v>https://climate.onebuilding.org/WMO_Region_4_North_and_Central_America/USA_United_States_of_America/CA_California/USA_CA_Oakland.Intl.AP.724930_TMY3.zip</v>
      </c>
    </row>
    <row r="186" spans="1:10" x14ac:dyDescent="0.25">
      <c r="A186" t="s">
        <v>15</v>
      </c>
      <c r="B186" t="s">
        <v>170</v>
      </c>
      <c r="C186" t="s">
        <v>210</v>
      </c>
      <c r="D186">
        <v>723927</v>
      </c>
      <c r="E186" t="s">
        <v>13</v>
      </c>
      <c r="F186">
        <v>34.200000000000003</v>
      </c>
      <c r="G186">
        <v>-119.2</v>
      </c>
      <c r="H186">
        <v>-8</v>
      </c>
      <c r="I186">
        <v>11</v>
      </c>
      <c r="J186" t="str">
        <f>HYPERLINK("https://climate.onebuilding.org/WMO_Region_4_North_and_Central_America/USA_United_States_of_America/CA_California/USA_CA_Oxnard.AP.723927_TMY3.zip")</f>
        <v>https://climate.onebuilding.org/WMO_Region_4_North_and_Central_America/USA_United_States_of_America/CA_California/USA_CA_Oxnard.AP.723927_TMY3.zip</v>
      </c>
    </row>
    <row r="187" spans="1:10" x14ac:dyDescent="0.25">
      <c r="A187" t="s">
        <v>15</v>
      </c>
      <c r="B187" t="s">
        <v>170</v>
      </c>
      <c r="C187" t="s">
        <v>211</v>
      </c>
      <c r="D187">
        <v>747187</v>
      </c>
      <c r="E187" t="s">
        <v>13</v>
      </c>
      <c r="F187">
        <v>33.633000000000003</v>
      </c>
      <c r="G187">
        <v>-116.167</v>
      </c>
      <c r="H187">
        <v>-8</v>
      </c>
      <c r="I187">
        <v>-34</v>
      </c>
      <c r="J187" t="str">
        <f>HYPERLINK("https://climate.onebuilding.org/WMO_Region_4_North_and_Central_America/USA_United_States_of_America/CA_California/USA_CA_Palm.Springs-Thermal-Cochran.Rgnl.AP.747187_TMY3.zip")</f>
        <v>https://climate.onebuilding.org/WMO_Region_4_North_and_Central_America/USA_United_States_of_America/CA_California/USA_CA_Palm.Springs-Thermal-Cochran.Rgnl.AP.747187_TMY3.zip</v>
      </c>
    </row>
    <row r="188" spans="1:10" x14ac:dyDescent="0.25">
      <c r="A188" t="s">
        <v>15</v>
      </c>
      <c r="B188" t="s">
        <v>170</v>
      </c>
      <c r="C188" t="s">
        <v>212</v>
      </c>
      <c r="D188">
        <v>722868</v>
      </c>
      <c r="E188" t="s">
        <v>13</v>
      </c>
      <c r="F188">
        <v>33.832999999999998</v>
      </c>
      <c r="G188">
        <v>-116.5</v>
      </c>
      <c r="H188">
        <v>-8</v>
      </c>
      <c r="I188">
        <v>145</v>
      </c>
      <c r="J188" t="str">
        <f>HYPERLINK("https://climate.onebuilding.org/WMO_Region_4_North_and_Central_America/USA_United_States_of_America/CA_California/USA_CA_Palm.Springs.Intl.AP.722868_TMY3.zip")</f>
        <v>https://climate.onebuilding.org/WMO_Region_4_North_and_Central_America/USA_United_States_of_America/CA_California/USA_CA_Palm.Springs.Intl.AP.722868_TMY3.zip</v>
      </c>
    </row>
    <row r="189" spans="1:10" x14ac:dyDescent="0.25">
      <c r="A189" t="s">
        <v>15</v>
      </c>
      <c r="B189" t="s">
        <v>170</v>
      </c>
      <c r="C189" t="s">
        <v>213</v>
      </c>
      <c r="D189">
        <v>723820</v>
      </c>
      <c r="E189" t="s">
        <v>13</v>
      </c>
      <c r="F189">
        <v>34.633000000000003</v>
      </c>
      <c r="G189">
        <v>-118.083</v>
      </c>
      <c r="H189">
        <v>-8</v>
      </c>
      <c r="I189">
        <v>769</v>
      </c>
      <c r="J189" t="str">
        <f>HYPERLINK("https://climate.onebuilding.org/WMO_Region_4_North_and_Central_America/USA_United_States_of_America/CA_California/USA_CA_Palmdale.Rgnl.AP.723820_TMY3.zip")</f>
        <v>https://climate.onebuilding.org/WMO_Region_4_North_and_Central_America/USA_United_States_of_America/CA_California/USA_CA_Palmdale.Rgnl.AP.723820_TMY3.zip</v>
      </c>
    </row>
    <row r="190" spans="1:10" x14ac:dyDescent="0.25">
      <c r="A190" t="s">
        <v>15</v>
      </c>
      <c r="B190" t="s">
        <v>170</v>
      </c>
      <c r="C190" t="s">
        <v>214</v>
      </c>
      <c r="D190">
        <v>723965</v>
      </c>
      <c r="E190" t="s">
        <v>13</v>
      </c>
      <c r="F190">
        <v>35.667000000000002</v>
      </c>
      <c r="G190">
        <v>-120.633</v>
      </c>
      <c r="H190">
        <v>-8</v>
      </c>
      <c r="I190">
        <v>244</v>
      </c>
      <c r="J190" t="str">
        <f>HYPERLINK("https://climate.onebuilding.org/WMO_Region_4_North_and_Central_America/USA_United_States_of_America/CA_California/USA_CA_Paso.Robles.Muni.AP.723965_TMY3.zip")</f>
        <v>https://climate.onebuilding.org/WMO_Region_4_North_and_Central_America/USA_United_States_of_America/CA_California/USA_CA_Paso.Robles.Muni.AP.723965_TMY3.zip</v>
      </c>
    </row>
    <row r="191" spans="1:10" x14ac:dyDescent="0.25">
      <c r="A191" t="s">
        <v>15</v>
      </c>
      <c r="B191" t="s">
        <v>170</v>
      </c>
      <c r="C191" t="s">
        <v>215</v>
      </c>
      <c r="D191">
        <v>723910</v>
      </c>
      <c r="E191" t="s">
        <v>13</v>
      </c>
      <c r="F191">
        <v>34.116999999999997</v>
      </c>
      <c r="G191">
        <v>-119.117</v>
      </c>
      <c r="H191">
        <v>-8</v>
      </c>
      <c r="I191">
        <v>3</v>
      </c>
      <c r="J191" t="str">
        <f>HYPERLINK("https://climate.onebuilding.org/WMO_Region_4_North_and_Central_America/USA_United_States_of_America/CA_California/USA_CA_NB.Ventura.County-Point.Mugu.Field.723910_TMY3.zip")</f>
        <v>https://climate.onebuilding.org/WMO_Region_4_North_and_Central_America/USA_United_States_of_America/CA_California/USA_CA_NB.Ventura.County-Point.Mugu.Field.723910_TMY3.zip</v>
      </c>
    </row>
    <row r="192" spans="1:10" x14ac:dyDescent="0.25">
      <c r="A192" t="s">
        <v>15</v>
      </c>
      <c r="B192" t="s">
        <v>170</v>
      </c>
      <c r="C192" t="s">
        <v>216</v>
      </c>
      <c r="D192">
        <v>723895</v>
      </c>
      <c r="E192" t="s">
        <v>13</v>
      </c>
      <c r="F192">
        <v>36.033000000000001</v>
      </c>
      <c r="G192">
        <v>-119.06699999999999</v>
      </c>
      <c r="H192">
        <v>-8</v>
      </c>
      <c r="I192">
        <v>135</v>
      </c>
      <c r="J192" t="str">
        <f>HYPERLINK("https://climate.onebuilding.org/WMO_Region_4_North_and_Central_America/USA_United_States_of_America/CA_California/USA_CA_Porterville.Muni.AP.723895_TMY3.zip")</f>
        <v>https://climate.onebuilding.org/WMO_Region_4_North_and_Central_America/USA_United_States_of_America/CA_California/USA_CA_Porterville.Muni.AP.723895_TMY3.zip</v>
      </c>
    </row>
    <row r="193" spans="1:10" x14ac:dyDescent="0.25">
      <c r="A193" t="s">
        <v>15</v>
      </c>
      <c r="B193" t="s">
        <v>170</v>
      </c>
      <c r="C193" t="s">
        <v>217</v>
      </c>
      <c r="D193">
        <v>725910</v>
      </c>
      <c r="E193" t="s">
        <v>13</v>
      </c>
      <c r="F193">
        <v>40.15</v>
      </c>
      <c r="G193">
        <v>-122.25</v>
      </c>
      <c r="H193">
        <v>-8</v>
      </c>
      <c r="I193">
        <v>106</v>
      </c>
      <c r="J193" t="str">
        <f>HYPERLINK("https://climate.onebuilding.org/WMO_Region_4_North_and_Central_America/USA_United_States_of_America/CA_California/USA_CA_Red.Bluff.Muni.AP.725910_TMY3.zip")</f>
        <v>https://climate.onebuilding.org/WMO_Region_4_North_and_Central_America/USA_United_States_of_America/CA_California/USA_CA_Red.Bluff.Muni.AP.725910_TMY3.zip</v>
      </c>
    </row>
    <row r="194" spans="1:10" x14ac:dyDescent="0.25">
      <c r="A194" t="s">
        <v>15</v>
      </c>
      <c r="B194" t="s">
        <v>170</v>
      </c>
      <c r="C194" t="s">
        <v>218</v>
      </c>
      <c r="D194">
        <v>725920</v>
      </c>
      <c r="E194" t="s">
        <v>13</v>
      </c>
      <c r="F194">
        <v>40.51</v>
      </c>
      <c r="G194">
        <v>-122.295</v>
      </c>
      <c r="H194">
        <v>-8</v>
      </c>
      <c r="I194">
        <v>153</v>
      </c>
      <c r="J194" t="str">
        <f>HYPERLINK("https://climate.onebuilding.org/WMO_Region_4_North_and_Central_America/USA_United_States_of_America/CA_California/USA_CA_Redding.Muni.AP.725920_TMY3.zip")</f>
        <v>https://climate.onebuilding.org/WMO_Region_4_North_and_Central_America/USA_United_States_of_America/CA_California/USA_CA_Redding.Muni.AP.725920_TMY3.zip</v>
      </c>
    </row>
    <row r="195" spans="1:10" x14ac:dyDescent="0.25">
      <c r="A195" t="s">
        <v>15</v>
      </c>
      <c r="B195" t="s">
        <v>170</v>
      </c>
      <c r="C195" t="s">
        <v>219</v>
      </c>
      <c r="D195">
        <v>722869</v>
      </c>
      <c r="E195" t="s">
        <v>13</v>
      </c>
      <c r="F195">
        <v>33.950000000000003</v>
      </c>
      <c r="G195">
        <v>-117.45</v>
      </c>
      <c r="H195">
        <v>-8</v>
      </c>
      <c r="I195">
        <v>256</v>
      </c>
      <c r="J195" t="str">
        <f>HYPERLINK("https://climate.onebuilding.org/WMO_Region_4_North_and_Central_America/USA_United_States_of_America/CA_California/USA_CA_Riverside.Muni.AP.722869_TMY3.zip")</f>
        <v>https://climate.onebuilding.org/WMO_Region_4_North_and_Central_America/USA_United_States_of_America/CA_California/USA_CA_Riverside.Muni.AP.722869_TMY3.zip</v>
      </c>
    </row>
    <row r="196" spans="1:10" x14ac:dyDescent="0.25">
      <c r="A196" t="s">
        <v>15</v>
      </c>
      <c r="B196" t="s">
        <v>170</v>
      </c>
      <c r="C196" t="s">
        <v>220</v>
      </c>
      <c r="D196">
        <v>724830</v>
      </c>
      <c r="E196" t="s">
        <v>13</v>
      </c>
      <c r="F196">
        <v>38.5</v>
      </c>
      <c r="G196">
        <v>-121.5</v>
      </c>
      <c r="H196">
        <v>-8</v>
      </c>
      <c r="I196">
        <v>5</v>
      </c>
      <c r="J196" t="str">
        <f>HYPERLINK("https://climate.onebuilding.org/WMO_Region_4_North_and_Central_America/USA_United_States_of_America/CA_California/USA_CA_Sacramento.Exec.AP.724830_TMY3.zip")</f>
        <v>https://climate.onebuilding.org/WMO_Region_4_North_and_Central_America/USA_United_States_of_America/CA_California/USA_CA_Sacramento.Exec.AP.724830_TMY3.zip</v>
      </c>
    </row>
    <row r="197" spans="1:10" x14ac:dyDescent="0.25">
      <c r="A197" t="s">
        <v>15</v>
      </c>
      <c r="B197" t="s">
        <v>170</v>
      </c>
      <c r="C197" t="s">
        <v>221</v>
      </c>
      <c r="D197">
        <v>724839</v>
      </c>
      <c r="E197" t="s">
        <v>13</v>
      </c>
      <c r="F197">
        <v>38.700000000000003</v>
      </c>
      <c r="G197">
        <v>-121.583</v>
      </c>
      <c r="H197">
        <v>-8</v>
      </c>
      <c r="I197">
        <v>7</v>
      </c>
      <c r="J197" t="str">
        <f>HYPERLINK("https://climate.onebuilding.org/WMO_Region_4_North_and_Central_America/USA_United_States_of_America/CA_California/USA_CA_Sacramento.Intl.AP.724839_TMY3.zip")</f>
        <v>https://climate.onebuilding.org/WMO_Region_4_North_and_Central_America/USA_United_States_of_America/CA_California/USA_CA_Sacramento.Intl.AP.724839_TMY3.zip</v>
      </c>
    </row>
    <row r="198" spans="1:10" x14ac:dyDescent="0.25">
      <c r="A198" t="s">
        <v>15</v>
      </c>
      <c r="B198" t="s">
        <v>170</v>
      </c>
      <c r="C198" t="s">
        <v>222</v>
      </c>
      <c r="D198">
        <v>725930</v>
      </c>
      <c r="E198" t="s">
        <v>13</v>
      </c>
      <c r="F198">
        <v>36.667000000000002</v>
      </c>
      <c r="G198">
        <v>-121.6</v>
      </c>
      <c r="H198">
        <v>-8</v>
      </c>
      <c r="I198">
        <v>21</v>
      </c>
      <c r="J198" t="str">
        <f>HYPERLINK("https://climate.onebuilding.org/WMO_Region_4_North_and_Central_America/USA_United_States_of_America/CA_California/USA_CA_Salinas.Muni.AP.725930_TMY3.zip")</f>
        <v>https://climate.onebuilding.org/WMO_Region_4_North_and_Central_America/USA_United_States_of_America/CA_California/USA_CA_Salinas.Muni.AP.725930_TMY3.zip</v>
      </c>
    </row>
    <row r="199" spans="1:10" x14ac:dyDescent="0.25">
      <c r="A199" t="s">
        <v>15</v>
      </c>
      <c r="B199" t="s">
        <v>170</v>
      </c>
      <c r="C199" t="s">
        <v>223</v>
      </c>
      <c r="D199">
        <v>722900</v>
      </c>
      <c r="E199" t="s">
        <v>13</v>
      </c>
      <c r="F199">
        <v>32.732999999999997</v>
      </c>
      <c r="G199">
        <v>-117.167</v>
      </c>
      <c r="H199">
        <v>-8</v>
      </c>
      <c r="I199">
        <v>4</v>
      </c>
      <c r="J199" t="str">
        <f>HYPERLINK("https://climate.onebuilding.org/WMO_Region_4_North_and_Central_America/USA_United_States_of_America/CA_California/USA_CA_San.Diego.Intl.AP-Lindbergh.Field.722900_TMY3.zip")</f>
        <v>https://climate.onebuilding.org/WMO_Region_4_North_and_Central_America/USA_United_States_of_America/CA_California/USA_CA_San.Diego.Intl.AP-Lindbergh.Field.722900_TMY3.zip</v>
      </c>
    </row>
    <row r="200" spans="1:10" x14ac:dyDescent="0.25">
      <c r="A200" t="s">
        <v>15</v>
      </c>
      <c r="B200" t="s">
        <v>170</v>
      </c>
      <c r="C200" t="s">
        <v>224</v>
      </c>
      <c r="D200">
        <v>722930</v>
      </c>
      <c r="E200" t="s">
        <v>13</v>
      </c>
      <c r="F200">
        <v>32.866999999999997</v>
      </c>
      <c r="G200">
        <v>-117.133</v>
      </c>
      <c r="H200">
        <v>-8</v>
      </c>
      <c r="I200">
        <v>140</v>
      </c>
      <c r="J200" t="str">
        <f>HYPERLINK("https://climate.onebuilding.org/WMO_Region_4_North_and_Central_America/USA_United_States_of_America/CA_California/USA_CA_San.Diego-MCAS.Miramar.722930_TMY3.zip")</f>
        <v>https://climate.onebuilding.org/WMO_Region_4_North_and_Central_America/USA_United_States_of_America/CA_California/USA_CA_San.Diego-MCAS.Miramar.722930_TMY3.zip</v>
      </c>
    </row>
    <row r="201" spans="1:10" x14ac:dyDescent="0.25">
      <c r="A201" t="s">
        <v>15</v>
      </c>
      <c r="B201" t="s">
        <v>170</v>
      </c>
      <c r="C201" t="s">
        <v>225</v>
      </c>
      <c r="D201">
        <v>722903</v>
      </c>
      <c r="E201" t="s">
        <v>13</v>
      </c>
      <c r="F201">
        <v>32.817</v>
      </c>
      <c r="G201">
        <v>-117.133</v>
      </c>
      <c r="H201">
        <v>-8</v>
      </c>
      <c r="I201">
        <v>129</v>
      </c>
      <c r="J201" t="str">
        <f>HYPERLINK("https://climate.onebuilding.org/WMO_Region_4_North_and_Central_America/USA_United_States_of_America/CA_California/USA_CA_San.Diego-Montgomery.Field.AP.722903_TMY3.zip")</f>
        <v>https://climate.onebuilding.org/WMO_Region_4_North_and_Central_America/USA_United_States_of_America/CA_California/USA_CA_San.Diego-Montgomery.Field.AP.722903_TMY3.zip</v>
      </c>
    </row>
    <row r="202" spans="1:10" x14ac:dyDescent="0.25">
      <c r="A202" t="s">
        <v>15</v>
      </c>
      <c r="B202" t="s">
        <v>170</v>
      </c>
      <c r="C202" t="s">
        <v>226</v>
      </c>
      <c r="D202">
        <v>722906</v>
      </c>
      <c r="E202" t="s">
        <v>13</v>
      </c>
      <c r="F202">
        <v>32.700000000000003</v>
      </c>
      <c r="G202">
        <v>-117.2</v>
      </c>
      <c r="H202">
        <v>-8</v>
      </c>
      <c r="I202">
        <v>15</v>
      </c>
      <c r="J202" t="str">
        <f>HYPERLINK("https://climate.onebuilding.org/WMO_Region_4_North_and_Central_America/USA_United_States_of_America/CA_California/USA_CA_San.Diego-NAS.North.Island-Halsey.Field.722906_TMY3.zip")</f>
        <v>https://climate.onebuilding.org/WMO_Region_4_North_and_Central_America/USA_United_States_of_America/CA_California/USA_CA_San.Diego-NAS.North.Island-Halsey.Field.722906_TMY3.zip</v>
      </c>
    </row>
    <row r="203" spans="1:10" x14ac:dyDescent="0.25">
      <c r="A203" t="s">
        <v>15</v>
      </c>
      <c r="B203" t="s">
        <v>170</v>
      </c>
      <c r="C203" t="s">
        <v>227</v>
      </c>
      <c r="D203">
        <v>724940</v>
      </c>
      <c r="E203" t="s">
        <v>13</v>
      </c>
      <c r="F203">
        <v>37.616999999999997</v>
      </c>
      <c r="G203">
        <v>-122.4</v>
      </c>
      <c r="H203">
        <v>-8</v>
      </c>
      <c r="I203">
        <v>2</v>
      </c>
      <c r="J203" t="str">
        <f>HYPERLINK("https://climate.onebuilding.org/WMO_Region_4_North_and_Central_America/USA_United_States_of_America/CA_California/USA_CA_San.Francisco.Intl.AP.724940_TMY3.zip")</f>
        <v>https://climate.onebuilding.org/WMO_Region_4_North_and_Central_America/USA_United_States_of_America/CA_California/USA_CA_San.Francisco.Intl.AP.724940_TMY3.zip</v>
      </c>
    </row>
    <row r="204" spans="1:10" x14ac:dyDescent="0.25">
      <c r="A204" t="s">
        <v>15</v>
      </c>
      <c r="B204" t="s">
        <v>170</v>
      </c>
      <c r="C204" t="s">
        <v>228</v>
      </c>
      <c r="D204">
        <v>724945</v>
      </c>
      <c r="E204" t="s">
        <v>13</v>
      </c>
      <c r="F204">
        <v>37.366999999999997</v>
      </c>
      <c r="G204">
        <v>-121.93300000000001</v>
      </c>
      <c r="H204">
        <v>-8</v>
      </c>
      <c r="I204">
        <v>16</v>
      </c>
      <c r="J204" t="str">
        <f>HYPERLINK("https://climate.onebuilding.org/WMO_Region_4_North_and_Central_America/USA_United_States_of_America/CA_California/USA_CA_San.Jose-Mineta.Intl.AP.724945_TMY3.zip")</f>
        <v>https://climate.onebuilding.org/WMO_Region_4_North_and_Central_America/USA_United_States_of_America/CA_California/USA_CA_San.Jose-Mineta.Intl.AP.724945_TMY3.zip</v>
      </c>
    </row>
    <row r="205" spans="1:10" x14ac:dyDescent="0.25">
      <c r="A205" t="s">
        <v>15</v>
      </c>
      <c r="B205" t="s">
        <v>170</v>
      </c>
      <c r="C205" t="s">
        <v>229</v>
      </c>
      <c r="D205">
        <v>722897</v>
      </c>
      <c r="E205" t="s">
        <v>13</v>
      </c>
      <c r="F205">
        <v>35.232999999999997</v>
      </c>
      <c r="G205">
        <v>-120.633</v>
      </c>
      <c r="H205">
        <v>-8</v>
      </c>
      <c r="I205">
        <v>66</v>
      </c>
      <c r="J205" t="str">
        <f>HYPERLINK("https://climate.onebuilding.org/WMO_Region_4_North_and_Central_America/USA_United_States_of_America/CA_California/USA_CA_San.Luis.Obispo.County.Rgnl.AP.722897_TMY3.zip")</f>
        <v>https://climate.onebuilding.org/WMO_Region_4_North_and_Central_America/USA_United_States_of_America/CA_California/USA_CA_San.Luis.Obispo.County.Rgnl.AP.722897_TMY3.zip</v>
      </c>
    </row>
    <row r="206" spans="1:10" x14ac:dyDescent="0.25">
      <c r="A206" t="s">
        <v>15</v>
      </c>
      <c r="B206" t="s">
        <v>170</v>
      </c>
      <c r="C206" t="s">
        <v>230</v>
      </c>
      <c r="D206">
        <v>723830</v>
      </c>
      <c r="E206" t="s">
        <v>13</v>
      </c>
      <c r="F206">
        <v>34.762999999999998</v>
      </c>
      <c r="G206">
        <v>-118.73</v>
      </c>
      <c r="H206">
        <v>-8</v>
      </c>
      <c r="I206">
        <v>1377</v>
      </c>
      <c r="J206" t="str">
        <f>HYPERLINK("https://climate.onebuilding.org/WMO_Region_4_North_and_Central_America/USA_United_States_of_America/CA_California/USA_CA_Sandberg-Quail.Lake.Sky.Park.723830_TMY3.zip")</f>
        <v>https://climate.onebuilding.org/WMO_Region_4_North_and_Central_America/USA_United_States_of_America/CA_California/USA_CA_Sandberg-Quail.Lake.Sky.Park.723830_TMY3.zip</v>
      </c>
    </row>
    <row r="207" spans="1:10" x14ac:dyDescent="0.25">
      <c r="A207" t="s">
        <v>15</v>
      </c>
      <c r="B207" t="s">
        <v>170</v>
      </c>
      <c r="C207" t="s">
        <v>231</v>
      </c>
      <c r="D207">
        <v>722977</v>
      </c>
      <c r="E207" t="s">
        <v>13</v>
      </c>
      <c r="F207">
        <v>33.683</v>
      </c>
      <c r="G207">
        <v>-117.867</v>
      </c>
      <c r="H207">
        <v>-8</v>
      </c>
      <c r="I207">
        <v>16</v>
      </c>
      <c r="J207" t="str">
        <f>HYPERLINK("https://climate.onebuilding.org/WMO_Region_4_North_and_Central_America/USA_United_States_of_America/CA_California/USA_CA_Orange.County-Wayne.Intl.AP.722977_TMY3.zip")</f>
        <v>https://climate.onebuilding.org/WMO_Region_4_North_and_Central_America/USA_United_States_of_America/CA_California/USA_CA_Orange.County-Wayne.Intl.AP.722977_TMY3.zip</v>
      </c>
    </row>
    <row r="208" spans="1:10" x14ac:dyDescent="0.25">
      <c r="A208" t="s">
        <v>15</v>
      </c>
      <c r="B208" t="s">
        <v>170</v>
      </c>
      <c r="C208" t="s">
        <v>232</v>
      </c>
      <c r="D208">
        <v>723925</v>
      </c>
      <c r="E208" t="s">
        <v>13</v>
      </c>
      <c r="F208">
        <v>34.433</v>
      </c>
      <c r="G208">
        <v>-119.85</v>
      </c>
      <c r="H208">
        <v>-8</v>
      </c>
      <c r="I208">
        <v>3</v>
      </c>
      <c r="J208" t="str">
        <f>HYPERLINK("https://climate.onebuilding.org/WMO_Region_4_North_and_Central_America/USA_United_States_of_America/CA_California/USA_CA_Santa.Barbara.Muni.AP.723925_TMY3.zip")</f>
        <v>https://climate.onebuilding.org/WMO_Region_4_North_and_Central_America/USA_United_States_of_America/CA_California/USA_CA_Santa.Barbara.Muni.AP.723925_TMY3.zip</v>
      </c>
    </row>
    <row r="209" spans="1:10" x14ac:dyDescent="0.25">
      <c r="A209" t="s">
        <v>15</v>
      </c>
      <c r="B209" t="s">
        <v>170</v>
      </c>
      <c r="C209" t="s">
        <v>233</v>
      </c>
      <c r="D209">
        <v>723940</v>
      </c>
      <c r="E209" t="s">
        <v>13</v>
      </c>
      <c r="F209">
        <v>34.917000000000002</v>
      </c>
      <c r="G209">
        <v>-120.467</v>
      </c>
      <c r="H209">
        <v>-8</v>
      </c>
      <c r="I209">
        <v>77</v>
      </c>
      <c r="J209" t="str">
        <f>HYPERLINK("https://climate.onebuilding.org/WMO_Region_4_North_and_Central_America/USA_United_States_of_America/CA_California/USA_CA_Santa.Maria.Public.AP-Hancock.Field.723940_TMY3.zip")</f>
        <v>https://climate.onebuilding.org/WMO_Region_4_North_and_Central_America/USA_United_States_of_America/CA_California/USA_CA_Santa.Maria.Public.AP-Hancock.Field.723940_TMY3.zip</v>
      </c>
    </row>
    <row r="210" spans="1:10" x14ac:dyDescent="0.25">
      <c r="A210" t="s">
        <v>15</v>
      </c>
      <c r="B210" t="s">
        <v>170</v>
      </c>
      <c r="C210" t="s">
        <v>234</v>
      </c>
      <c r="D210">
        <v>722885</v>
      </c>
      <c r="E210" t="s">
        <v>13</v>
      </c>
      <c r="F210">
        <v>34.017000000000003</v>
      </c>
      <c r="G210">
        <v>-118.45</v>
      </c>
      <c r="H210">
        <v>-8</v>
      </c>
      <c r="I210">
        <v>53</v>
      </c>
      <c r="J210" t="str">
        <f>HYPERLINK("https://climate.onebuilding.org/WMO_Region_4_North_and_Central_America/USA_United_States_of_America/CA_California/USA_CA_Santa.Monica.AP.722885_TMY3.zip")</f>
        <v>https://climate.onebuilding.org/WMO_Region_4_North_and_Central_America/USA_United_States_of_America/CA_California/USA_CA_Santa.Monica.AP.722885_TMY3.zip</v>
      </c>
    </row>
    <row r="211" spans="1:10" x14ac:dyDescent="0.25">
      <c r="A211" t="s">
        <v>15</v>
      </c>
      <c r="B211" t="s">
        <v>170</v>
      </c>
      <c r="C211" t="s">
        <v>235</v>
      </c>
      <c r="D211">
        <v>724957</v>
      </c>
      <c r="E211" t="s">
        <v>13</v>
      </c>
      <c r="F211">
        <v>38.517000000000003</v>
      </c>
      <c r="G211">
        <v>-122.81699999999999</v>
      </c>
      <c r="H211">
        <v>-8</v>
      </c>
      <c r="I211">
        <v>38</v>
      </c>
      <c r="J211" t="str">
        <f>HYPERLINK("https://climate.onebuilding.org/WMO_Region_4_North_and_Central_America/USA_United_States_of_America/CA_California/USA_CA_Santa.Rosa-Schulz-Sonoma.County.AP.724957_TMY3.zip")</f>
        <v>https://climate.onebuilding.org/WMO_Region_4_North_and_Central_America/USA_United_States_of_America/CA_California/USA_CA_Santa.Rosa-Schulz-Sonoma.County.AP.724957_TMY3.zip</v>
      </c>
    </row>
    <row r="212" spans="1:10" x14ac:dyDescent="0.25">
      <c r="A212" t="s">
        <v>15</v>
      </c>
      <c r="B212" t="s">
        <v>170</v>
      </c>
      <c r="C212" t="s">
        <v>236</v>
      </c>
      <c r="D212">
        <v>725847</v>
      </c>
      <c r="E212" t="s">
        <v>13</v>
      </c>
      <c r="F212">
        <v>38.9</v>
      </c>
      <c r="G212">
        <v>-120</v>
      </c>
      <c r="H212">
        <v>-8</v>
      </c>
      <c r="I212">
        <v>1909</v>
      </c>
      <c r="J212" t="str">
        <f>HYPERLINK("https://climate.onebuilding.org/WMO_Region_4_North_and_Central_America/USA_United_States_of_America/CA_California/USA_CA_South.Lake.Tahoe-Lake.Tahoe.AP.725847_TMY3.zip")</f>
        <v>https://climate.onebuilding.org/WMO_Region_4_North_and_Central_America/USA_United_States_of_America/CA_California/USA_CA_South.Lake.Tahoe-Lake.Tahoe.AP.725847_TMY3.zip</v>
      </c>
    </row>
    <row r="213" spans="1:10" x14ac:dyDescent="0.25">
      <c r="A213" t="s">
        <v>15</v>
      </c>
      <c r="B213" t="s">
        <v>170</v>
      </c>
      <c r="C213" t="s">
        <v>237</v>
      </c>
      <c r="D213">
        <v>724920</v>
      </c>
      <c r="E213" t="s">
        <v>13</v>
      </c>
      <c r="F213">
        <v>37.9</v>
      </c>
      <c r="G213">
        <v>-121.233</v>
      </c>
      <c r="H213">
        <v>-8</v>
      </c>
      <c r="I213">
        <v>7</v>
      </c>
      <c r="J213" t="str">
        <f>HYPERLINK("https://climate.onebuilding.org/WMO_Region_4_North_and_Central_America/USA_United_States_of_America/CA_California/USA_CA_Stockton.Metro.AP.724920_TMY3.zip")</f>
        <v>https://climate.onebuilding.org/WMO_Region_4_North_and_Central_America/USA_United_States_of_America/CA_California/USA_CA_Stockton.Metro.AP.724920_TMY3.zip</v>
      </c>
    </row>
    <row r="214" spans="1:10" x14ac:dyDescent="0.25">
      <c r="A214" t="s">
        <v>15</v>
      </c>
      <c r="B214" t="s">
        <v>170</v>
      </c>
      <c r="C214" t="s">
        <v>238</v>
      </c>
      <c r="D214">
        <v>725846</v>
      </c>
      <c r="E214" t="s">
        <v>13</v>
      </c>
      <c r="F214">
        <v>39.317</v>
      </c>
      <c r="G214">
        <v>-120.133</v>
      </c>
      <c r="H214">
        <v>-8</v>
      </c>
      <c r="I214">
        <v>1798</v>
      </c>
      <c r="J214" t="str">
        <f>HYPERLINK("https://climate.onebuilding.org/WMO_Region_4_North_and_Central_America/USA_United_States_of_America/CA_California/USA_CA_Truckee.Tahoe.AP.725846_TMY3.zip")</f>
        <v>https://climate.onebuilding.org/WMO_Region_4_North_and_Central_America/USA_United_States_of_America/CA_California/USA_CA_Truckee.Tahoe.AP.725846_TMY3.zip</v>
      </c>
    </row>
    <row r="215" spans="1:10" x14ac:dyDescent="0.25">
      <c r="A215" t="s">
        <v>15</v>
      </c>
      <c r="B215" t="s">
        <v>170</v>
      </c>
      <c r="C215" t="s">
        <v>239</v>
      </c>
      <c r="D215">
        <v>690150</v>
      </c>
      <c r="E215" t="s">
        <v>13</v>
      </c>
      <c r="F215">
        <v>34.299999999999997</v>
      </c>
      <c r="G215">
        <v>-116.167</v>
      </c>
      <c r="H215">
        <v>-8</v>
      </c>
      <c r="I215">
        <v>626</v>
      </c>
      <c r="J215" t="str">
        <f>HYPERLINK("https://climate.onebuilding.org/WMO_Region_4_North_and_Central_America/USA_United_States_of_America/CA_California/USA_CA_Twentynine.Palms.SELF.690150_TMY3.zip")</f>
        <v>https://climate.onebuilding.org/WMO_Region_4_North_and_Central_America/USA_United_States_of_America/CA_California/USA_CA_Twentynine.Palms.SELF.690150_TMY3.zip</v>
      </c>
    </row>
    <row r="216" spans="1:10" x14ac:dyDescent="0.25">
      <c r="A216" t="s">
        <v>15</v>
      </c>
      <c r="B216" t="s">
        <v>170</v>
      </c>
      <c r="C216" t="s">
        <v>240</v>
      </c>
      <c r="D216">
        <v>725905</v>
      </c>
      <c r="E216" t="s">
        <v>13</v>
      </c>
      <c r="F216">
        <v>39.133000000000003</v>
      </c>
      <c r="G216">
        <v>-123.2</v>
      </c>
      <c r="H216">
        <v>-8</v>
      </c>
      <c r="I216">
        <v>189</v>
      </c>
      <c r="J216" t="str">
        <f>HYPERLINK("https://climate.onebuilding.org/WMO_Region_4_North_and_Central_America/USA_United_States_of_America/CA_California/USA_CA_Ukiah.Muni.AP.725905_TMY3.zip")</f>
        <v>https://climate.onebuilding.org/WMO_Region_4_North_and_Central_America/USA_United_States_of_America/CA_California/USA_CA_Ukiah.Muni.AP.725905_TMY3.zip</v>
      </c>
    </row>
    <row r="217" spans="1:10" x14ac:dyDescent="0.25">
      <c r="A217" t="s">
        <v>15</v>
      </c>
      <c r="B217" t="s">
        <v>170</v>
      </c>
      <c r="C217" t="s">
        <v>241</v>
      </c>
      <c r="D217">
        <v>722886</v>
      </c>
      <c r="E217" t="s">
        <v>13</v>
      </c>
      <c r="F217">
        <v>34.216999999999999</v>
      </c>
      <c r="G217">
        <v>-118.483</v>
      </c>
      <c r="H217">
        <v>-8</v>
      </c>
      <c r="I217">
        <v>235</v>
      </c>
      <c r="J217" t="str">
        <f>HYPERLINK("https://climate.onebuilding.org/WMO_Region_4_North_and_Central_America/USA_United_States_of_America/CA_California/USA_CA_Van.Nuys.AP.722886_TMY3.zip")</f>
        <v>https://climate.onebuilding.org/WMO_Region_4_North_and_Central_America/USA_United_States_of_America/CA_California/USA_CA_Van.Nuys.AP.722886_TMY3.zip</v>
      </c>
    </row>
    <row r="218" spans="1:10" x14ac:dyDescent="0.25">
      <c r="A218" t="s">
        <v>15</v>
      </c>
      <c r="B218" t="s">
        <v>170</v>
      </c>
      <c r="C218" t="s">
        <v>242</v>
      </c>
      <c r="D218">
        <v>723896</v>
      </c>
      <c r="E218" t="s">
        <v>13</v>
      </c>
      <c r="F218">
        <v>36.317</v>
      </c>
      <c r="G218">
        <v>-119.4</v>
      </c>
      <c r="H218">
        <v>-8</v>
      </c>
      <c r="I218">
        <v>89</v>
      </c>
      <c r="J218" t="str">
        <f>HYPERLINK("https://climate.onebuilding.org/WMO_Region_4_North_and_Central_America/USA_United_States_of_America/CA_California/USA_CA_Visalia.Muni.AP.723896_TMY3.zip")</f>
        <v>https://climate.onebuilding.org/WMO_Region_4_North_and_Central_America/USA_United_States_of_America/CA_California/USA_CA_Visalia.Muni.AP.723896_TMY3.zip</v>
      </c>
    </row>
    <row r="219" spans="1:10" x14ac:dyDescent="0.25">
      <c r="A219" t="s">
        <v>15</v>
      </c>
      <c r="B219" t="s">
        <v>170</v>
      </c>
      <c r="C219" t="s">
        <v>243</v>
      </c>
      <c r="D219">
        <v>724838</v>
      </c>
      <c r="E219" t="s">
        <v>13</v>
      </c>
      <c r="F219">
        <v>39.1</v>
      </c>
      <c r="G219">
        <v>-121.56699999999999</v>
      </c>
      <c r="H219">
        <v>-8</v>
      </c>
      <c r="I219">
        <v>19</v>
      </c>
      <c r="J219" t="str">
        <f>HYPERLINK("https://climate.onebuilding.org/WMO_Region_4_North_and_Central_America/USA_United_States_of_America/CA_California/USA_CA_Marysville-Yuba.County.AP.724838_TMY3.zip")</f>
        <v>https://climate.onebuilding.org/WMO_Region_4_North_and_Central_America/USA_United_States_of_America/CA_California/USA_CA_Marysville-Yuba.County.AP.724838_TMY3.zip</v>
      </c>
    </row>
    <row r="220" spans="1:10" x14ac:dyDescent="0.25">
      <c r="A220" t="s">
        <v>15</v>
      </c>
      <c r="B220" t="s">
        <v>244</v>
      </c>
      <c r="C220" t="s">
        <v>245</v>
      </c>
      <c r="D220">
        <v>724698</v>
      </c>
      <c r="E220" t="s">
        <v>13</v>
      </c>
      <c r="F220">
        <v>40.167000000000002</v>
      </c>
      <c r="G220">
        <v>-103.233</v>
      </c>
      <c r="H220">
        <v>-7</v>
      </c>
      <c r="I220">
        <v>1421</v>
      </c>
      <c r="J220" t="str">
        <f>HYPERLINK("https://climate.onebuilding.org/WMO_Region_4_North_and_Central_America/USA_United_States_of_America/CO_Colorado/USA_CO_Akron-Colorado.Plains.Rgnl.AP.724698_TMY3.zip")</f>
        <v>https://climate.onebuilding.org/WMO_Region_4_North_and_Central_America/USA_United_States_of_America/CO_Colorado/USA_CO_Akron-Colorado.Plains.Rgnl.AP.724698_TMY3.zip</v>
      </c>
    </row>
    <row r="221" spans="1:10" x14ac:dyDescent="0.25">
      <c r="A221" t="s">
        <v>15</v>
      </c>
      <c r="B221" t="s">
        <v>244</v>
      </c>
      <c r="C221" t="s">
        <v>246</v>
      </c>
      <c r="D221">
        <v>724620</v>
      </c>
      <c r="E221" t="s">
        <v>13</v>
      </c>
      <c r="F221">
        <v>37.433</v>
      </c>
      <c r="G221">
        <v>-105.867</v>
      </c>
      <c r="H221">
        <v>-7</v>
      </c>
      <c r="I221">
        <v>2296</v>
      </c>
      <c r="J221" t="str">
        <f>HYPERLINK("https://climate.onebuilding.org/WMO_Region_4_North_and_Central_America/USA_United_States_of_America/CO_Colorado/USA_CO_Alamosa-San.Luis.Valley.Rgnl.AP.724620_TMY3.zip")</f>
        <v>https://climate.onebuilding.org/WMO_Region_4_North_and_Central_America/USA_United_States_of_America/CO_Colorado/USA_CO_Alamosa-San.Luis.Valley.Rgnl.AP.724620_TMY3.zip</v>
      </c>
    </row>
    <row r="222" spans="1:10" x14ac:dyDescent="0.25">
      <c r="A222" t="s">
        <v>15</v>
      </c>
      <c r="B222" t="s">
        <v>244</v>
      </c>
      <c r="C222" t="s">
        <v>247</v>
      </c>
      <c r="D222">
        <v>724676</v>
      </c>
      <c r="E222" t="s">
        <v>13</v>
      </c>
      <c r="F222">
        <v>39.216999999999999</v>
      </c>
      <c r="G222">
        <v>-106.867</v>
      </c>
      <c r="H222">
        <v>-7</v>
      </c>
      <c r="I222">
        <v>2444</v>
      </c>
      <c r="J222" t="str">
        <f>HYPERLINK("https://climate.onebuilding.org/WMO_Region_4_North_and_Central_America/USA_United_States_of_America/CO_Colorado/USA_CO_Aspen-Pitkin.County.AP-Sardy.Field.724676_TMY3.zip")</f>
        <v>https://climate.onebuilding.org/WMO_Region_4_North_and_Central_America/USA_United_States_of_America/CO_Colorado/USA_CO_Aspen-Pitkin.County.AP-Sardy.Field.724676_TMY3.zip</v>
      </c>
    </row>
    <row r="223" spans="1:10" x14ac:dyDescent="0.25">
      <c r="A223" t="s">
        <v>15</v>
      </c>
      <c r="B223" t="s">
        <v>244</v>
      </c>
      <c r="C223" t="s">
        <v>248</v>
      </c>
      <c r="D223">
        <v>724695</v>
      </c>
      <c r="E223" t="s">
        <v>13</v>
      </c>
      <c r="F223">
        <v>39.716999999999999</v>
      </c>
      <c r="G223">
        <v>-104.75</v>
      </c>
      <c r="H223">
        <v>-7</v>
      </c>
      <c r="I223">
        <v>1726</v>
      </c>
      <c r="J223" t="str">
        <f>HYPERLINK("https://climate.onebuilding.org/WMO_Region_4_North_and_Central_America/USA_United_States_of_America/CO_Colorado/USA_CO_Aurora-Buckley.AFB.724695_TMY3.zip")</f>
        <v>https://climate.onebuilding.org/WMO_Region_4_North_and_Central_America/USA_United_States_of_America/CO_Colorado/USA_CO_Aurora-Buckley.AFB.724695_TMY3.zip</v>
      </c>
    </row>
    <row r="224" spans="1:10" x14ac:dyDescent="0.25">
      <c r="A224" t="s">
        <v>15</v>
      </c>
      <c r="B224" t="s">
        <v>244</v>
      </c>
      <c r="C224" t="s">
        <v>249</v>
      </c>
      <c r="D224">
        <v>724699</v>
      </c>
      <c r="E224" t="s">
        <v>13</v>
      </c>
      <c r="F224">
        <v>40.130000000000003</v>
      </c>
      <c r="G224">
        <v>-105.24</v>
      </c>
      <c r="H224">
        <v>-7</v>
      </c>
      <c r="I224">
        <v>1689</v>
      </c>
      <c r="J224" t="str">
        <f>HYPERLINK("https://climate.onebuilding.org/WMO_Region_4_North_and_Central_America/USA_United_States_of_America/CO_Colorado/USA_CO_Boulder-Table.Mountain.SURFRAD.724699_TMY3.zip")</f>
        <v>https://climate.onebuilding.org/WMO_Region_4_North_and_Central_America/USA_United_States_of_America/CO_Colorado/USA_CO_Boulder-Table.Mountain.SURFRAD.724699_TMY3.zip</v>
      </c>
    </row>
    <row r="225" spans="1:10" x14ac:dyDescent="0.25">
      <c r="A225" t="s">
        <v>15</v>
      </c>
      <c r="B225" t="s">
        <v>244</v>
      </c>
      <c r="C225" t="s">
        <v>250</v>
      </c>
      <c r="D225">
        <v>724660</v>
      </c>
      <c r="E225" t="s">
        <v>13</v>
      </c>
      <c r="F225">
        <v>38.817</v>
      </c>
      <c r="G225">
        <v>-104.717</v>
      </c>
      <c r="H225">
        <v>-7</v>
      </c>
      <c r="I225">
        <v>1872</v>
      </c>
      <c r="J225" t="str">
        <f>HYPERLINK("https://climate.onebuilding.org/WMO_Region_4_North_and_Central_America/USA_United_States_of_America/CO_Colorado/USA_CO_Colorado.Springs.AP-Peterson.Field.724660_TMY3.zip")</f>
        <v>https://climate.onebuilding.org/WMO_Region_4_North_and_Central_America/USA_United_States_of_America/CO_Colorado/USA_CO_Colorado.Springs.AP-Peterson.Field.724660_TMY3.zip</v>
      </c>
    </row>
    <row r="226" spans="1:10" x14ac:dyDescent="0.25">
      <c r="A226" t="s">
        <v>15</v>
      </c>
      <c r="B226" t="s">
        <v>244</v>
      </c>
      <c r="C226" t="s">
        <v>251</v>
      </c>
      <c r="D226">
        <v>724767</v>
      </c>
      <c r="E226" t="s">
        <v>13</v>
      </c>
      <c r="F226">
        <v>37.299999999999997</v>
      </c>
      <c r="G226">
        <v>-108.633</v>
      </c>
      <c r="H226">
        <v>-7</v>
      </c>
      <c r="I226">
        <v>1803</v>
      </c>
      <c r="J226" t="str">
        <f>HYPERLINK("https://climate.onebuilding.org/WMO_Region_4_North_and_Central_America/USA_United_States_of_America/CO_Colorado/USA_CO_Cortez-Montezuma.County.AP.724767_TMY3.zip")</f>
        <v>https://climate.onebuilding.org/WMO_Region_4_North_and_Central_America/USA_United_States_of_America/CO_Colorado/USA_CO_Cortez-Montezuma.County.AP.724767_TMY3.zip</v>
      </c>
    </row>
    <row r="227" spans="1:10" x14ac:dyDescent="0.25">
      <c r="A227" t="s">
        <v>15</v>
      </c>
      <c r="B227" t="s">
        <v>244</v>
      </c>
      <c r="C227" t="s">
        <v>252</v>
      </c>
      <c r="D227">
        <v>725700</v>
      </c>
      <c r="E227" t="s">
        <v>13</v>
      </c>
      <c r="F227">
        <v>40.5</v>
      </c>
      <c r="G227">
        <v>-107.533</v>
      </c>
      <c r="H227">
        <v>-7</v>
      </c>
      <c r="I227">
        <v>1915</v>
      </c>
      <c r="J227" t="str">
        <f>HYPERLINK("https://climate.onebuilding.org/WMO_Region_4_North_and_Central_America/USA_United_States_of_America/CO_Colorado/USA_CO_Craig-Moffat.AP.725700_TMY3.zip")</f>
        <v>https://climate.onebuilding.org/WMO_Region_4_North_and_Central_America/USA_United_States_of_America/CO_Colorado/USA_CO_Craig-Moffat.AP.725700_TMY3.zip</v>
      </c>
    </row>
    <row r="228" spans="1:10" x14ac:dyDescent="0.25">
      <c r="A228" t="s">
        <v>15</v>
      </c>
      <c r="B228" t="s">
        <v>244</v>
      </c>
      <c r="C228" t="s">
        <v>253</v>
      </c>
      <c r="D228">
        <v>725650</v>
      </c>
      <c r="E228" t="s">
        <v>13</v>
      </c>
      <c r="F228">
        <v>39.832999999999998</v>
      </c>
      <c r="G228">
        <v>-104.65</v>
      </c>
      <c r="H228">
        <v>-7</v>
      </c>
      <c r="I228">
        <v>1650</v>
      </c>
      <c r="J228" t="str">
        <f>HYPERLINK("https://climate.onebuilding.org/WMO_Region_4_North_and_Central_America/USA_United_States_of_America/CO_Colorado/USA_CO_Denver.Intl.AP.725650_TMY3.zip")</f>
        <v>https://climate.onebuilding.org/WMO_Region_4_North_and_Central_America/USA_United_States_of_America/CO_Colorado/USA_CO_Denver.Intl.AP.725650_TMY3.zip</v>
      </c>
    </row>
    <row r="229" spans="1:10" x14ac:dyDescent="0.25">
      <c r="A229" t="s">
        <v>15</v>
      </c>
      <c r="B229" t="s">
        <v>244</v>
      </c>
      <c r="C229" t="s">
        <v>254</v>
      </c>
      <c r="D229">
        <v>724625</v>
      </c>
      <c r="E229" t="s">
        <v>13</v>
      </c>
      <c r="F229">
        <v>37.15</v>
      </c>
      <c r="G229">
        <v>-107.75</v>
      </c>
      <c r="H229">
        <v>-7</v>
      </c>
      <c r="I229">
        <v>2038</v>
      </c>
      <c r="J229" t="str">
        <f>HYPERLINK("https://climate.onebuilding.org/WMO_Region_4_North_and_Central_America/USA_United_States_of_America/CO_Colorado/USA_CO_Durango-La.Plata.County.AP.724625_TMY3.zip")</f>
        <v>https://climate.onebuilding.org/WMO_Region_4_North_and_Central_America/USA_United_States_of_America/CO_Colorado/USA_CO_Durango-La.Plata.County.AP.724625_TMY3.zip</v>
      </c>
    </row>
    <row r="230" spans="1:10" x14ac:dyDescent="0.25">
      <c r="A230" t="s">
        <v>15</v>
      </c>
      <c r="B230" t="s">
        <v>244</v>
      </c>
      <c r="C230" t="s">
        <v>255</v>
      </c>
      <c r="D230">
        <v>724675</v>
      </c>
      <c r="E230" t="s">
        <v>13</v>
      </c>
      <c r="F230">
        <v>39.65</v>
      </c>
      <c r="G230">
        <v>-106.917</v>
      </c>
      <c r="H230">
        <v>-7</v>
      </c>
      <c r="I230">
        <v>1980</v>
      </c>
      <c r="J230" t="str">
        <f>HYPERLINK("https://climate.onebuilding.org/WMO_Region_4_North_and_Central_America/USA_United_States_of_America/CO_Colorado/USA_CO_Eagle.County.Rgnl.AP.724675_TMY3.zip")</f>
        <v>https://climate.onebuilding.org/WMO_Region_4_North_and_Central_America/USA_United_States_of_America/CO_Colorado/USA_CO_Eagle.County.Rgnl.AP.724675_TMY3.zip</v>
      </c>
    </row>
    <row r="231" spans="1:10" x14ac:dyDescent="0.25">
      <c r="A231" t="s">
        <v>15</v>
      </c>
      <c r="B231" t="s">
        <v>244</v>
      </c>
      <c r="C231" t="s">
        <v>256</v>
      </c>
      <c r="D231">
        <v>724769</v>
      </c>
      <c r="E231" t="s">
        <v>13</v>
      </c>
      <c r="F231">
        <v>40.450000000000003</v>
      </c>
      <c r="G231">
        <v>-105.017</v>
      </c>
      <c r="H231">
        <v>-7</v>
      </c>
      <c r="I231">
        <v>1529</v>
      </c>
      <c r="J231" t="str">
        <f>HYPERLINK("https://climate.onebuilding.org/WMO_Region_4_North_and_Central_America/USA_United_States_of_America/CO_Colorado/USA_CO_Fort.Collins-Loveland.Muni.AP.724769_TMY3.zip")</f>
        <v>https://climate.onebuilding.org/WMO_Region_4_North_and_Central_America/USA_United_States_of_America/CO_Colorado/USA_CO_Fort.Collins-Loveland.Muni.AP.724769_TMY3.zip</v>
      </c>
    </row>
    <row r="232" spans="1:10" x14ac:dyDescent="0.25">
      <c r="A232" t="s">
        <v>15</v>
      </c>
      <c r="B232" t="s">
        <v>244</v>
      </c>
      <c r="C232" t="s">
        <v>257</v>
      </c>
      <c r="D232">
        <v>724666</v>
      </c>
      <c r="E232" t="s">
        <v>13</v>
      </c>
      <c r="F232">
        <v>39.741999999999997</v>
      </c>
      <c r="G232">
        <v>-105.179</v>
      </c>
      <c r="H232">
        <v>-7</v>
      </c>
      <c r="I232">
        <v>1829</v>
      </c>
      <c r="J232" t="str">
        <f>HYPERLINK("https://climate.onebuilding.org/WMO_Region_4_North_and_Central_America/USA_United_States_of_America/CO_Colorado/USA_CO_Golden-NREL.724666_TMY3.zip")</f>
        <v>https://climate.onebuilding.org/WMO_Region_4_North_and_Central_America/USA_United_States_of_America/CO_Colorado/USA_CO_Golden-NREL.724666_TMY3.zip</v>
      </c>
    </row>
    <row r="233" spans="1:10" x14ac:dyDescent="0.25">
      <c r="A233" t="s">
        <v>15</v>
      </c>
      <c r="B233" t="s">
        <v>244</v>
      </c>
      <c r="C233" t="s">
        <v>258</v>
      </c>
      <c r="D233">
        <v>724760</v>
      </c>
      <c r="E233" t="s">
        <v>13</v>
      </c>
      <c r="F233">
        <v>39.133000000000003</v>
      </c>
      <c r="G233">
        <v>-108.533</v>
      </c>
      <c r="H233">
        <v>-7</v>
      </c>
      <c r="I233">
        <v>1475</v>
      </c>
      <c r="J233" t="str">
        <f>HYPERLINK("https://climate.onebuilding.org/WMO_Region_4_North_and_Central_America/USA_United_States_of_America/CO_Colorado/USA_CO_Grand.Junction.Rgnl.AP.724760_TMY3.zip")</f>
        <v>https://climate.onebuilding.org/WMO_Region_4_North_and_Central_America/USA_United_States_of_America/CO_Colorado/USA_CO_Grand.Junction.Rgnl.AP.724760_TMY3.zip</v>
      </c>
    </row>
    <row r="234" spans="1:10" x14ac:dyDescent="0.25">
      <c r="A234" t="s">
        <v>15</v>
      </c>
      <c r="B234" t="s">
        <v>244</v>
      </c>
      <c r="C234" t="s">
        <v>259</v>
      </c>
      <c r="D234">
        <v>724768</v>
      </c>
      <c r="E234" t="s">
        <v>13</v>
      </c>
      <c r="F234">
        <v>40.433</v>
      </c>
      <c r="G234">
        <v>-104.633</v>
      </c>
      <c r="H234">
        <v>-7</v>
      </c>
      <c r="I234">
        <v>1420</v>
      </c>
      <c r="J234" t="str">
        <f>HYPERLINK("https://climate.onebuilding.org/WMO_Region_4_North_and_Central_America/USA_United_States_of_America/CO_Colorado/USA_CO_Greeley-Weld.County.AP.724768_TMY3.zip")</f>
        <v>https://climate.onebuilding.org/WMO_Region_4_North_and_Central_America/USA_United_States_of_America/CO_Colorado/USA_CO_Greeley-Weld.County.AP.724768_TMY3.zip</v>
      </c>
    </row>
    <row r="235" spans="1:10" x14ac:dyDescent="0.25">
      <c r="A235" t="s">
        <v>15</v>
      </c>
      <c r="B235" t="s">
        <v>244</v>
      </c>
      <c r="C235" t="s">
        <v>260</v>
      </c>
      <c r="D235">
        <v>724677</v>
      </c>
      <c r="E235" t="s">
        <v>13</v>
      </c>
      <c r="F235">
        <v>38.533000000000001</v>
      </c>
      <c r="G235">
        <v>-106.93300000000001</v>
      </c>
      <c r="H235">
        <v>-7</v>
      </c>
      <c r="I235">
        <v>2339</v>
      </c>
      <c r="J235" t="str">
        <f>HYPERLINK("https://climate.onebuilding.org/WMO_Region_4_North_and_Central_America/USA_United_States_of_America/CO_Colorado/USA_CO_Gunnison-Crested.Butte.Rgnl.AP.724677_TMY3.zip")</f>
        <v>https://climate.onebuilding.org/WMO_Region_4_North_and_Central_America/USA_United_States_of_America/CO_Colorado/USA_CO_Gunnison-Crested.Butte.Rgnl.AP.724677_TMY3.zip</v>
      </c>
    </row>
    <row r="236" spans="1:10" x14ac:dyDescent="0.25">
      <c r="A236" t="s">
        <v>15</v>
      </c>
      <c r="B236" t="s">
        <v>244</v>
      </c>
      <c r="C236" t="s">
        <v>261</v>
      </c>
      <c r="D236">
        <v>725715</v>
      </c>
      <c r="E236" t="s">
        <v>13</v>
      </c>
      <c r="F236">
        <v>40.482999999999997</v>
      </c>
      <c r="G236">
        <v>-107.217</v>
      </c>
      <c r="H236">
        <v>-7</v>
      </c>
      <c r="I236">
        <v>2012</v>
      </c>
      <c r="J236" t="str">
        <f>HYPERLINK("https://climate.onebuilding.org/WMO_Region_4_North_and_Central_America/USA_United_States_of_America/CO_Colorado/USA_CO_Hayden-Yampa.Valley.Rgnl.AP.725715_TMY3.zip")</f>
        <v>https://climate.onebuilding.org/WMO_Region_4_North_and_Central_America/USA_United_States_of_America/CO_Colorado/USA_CO_Hayden-Yampa.Valley.Rgnl.AP.725715_TMY3.zip</v>
      </c>
    </row>
    <row r="237" spans="1:10" x14ac:dyDescent="0.25">
      <c r="A237" t="s">
        <v>15</v>
      </c>
      <c r="B237" t="s">
        <v>244</v>
      </c>
      <c r="C237" t="s">
        <v>262</v>
      </c>
      <c r="D237">
        <v>724635</v>
      </c>
      <c r="E237" t="s">
        <v>13</v>
      </c>
      <c r="F237">
        <v>38.049999999999997</v>
      </c>
      <c r="G237">
        <v>-103.533</v>
      </c>
      <c r="H237">
        <v>-7</v>
      </c>
      <c r="I237">
        <v>1281</v>
      </c>
      <c r="J237" t="str">
        <f>HYPERLINK("https://climate.onebuilding.org/WMO_Region_4_North_and_Central_America/USA_United_States_of_America/CO_Colorado/USA_CO_La.Junta.Muni.AP.724635_TMY3.zip")</f>
        <v>https://climate.onebuilding.org/WMO_Region_4_North_and_Central_America/USA_United_States_of_America/CO_Colorado/USA_CO_La.Junta.Muni.AP.724635_TMY3.zip</v>
      </c>
    </row>
    <row r="238" spans="1:10" x14ac:dyDescent="0.25">
      <c r="A238" t="s">
        <v>15</v>
      </c>
      <c r="B238" t="s">
        <v>244</v>
      </c>
      <c r="C238" t="s">
        <v>263</v>
      </c>
      <c r="D238">
        <v>724636</v>
      </c>
      <c r="E238" t="s">
        <v>13</v>
      </c>
      <c r="F238">
        <v>38.067</v>
      </c>
      <c r="G238">
        <v>-102.68300000000001</v>
      </c>
      <c r="H238">
        <v>-7</v>
      </c>
      <c r="I238">
        <v>1129</v>
      </c>
      <c r="J238" t="str">
        <f>HYPERLINK("https://climate.onebuilding.org/WMO_Region_4_North_and_Central_America/USA_United_States_of_America/CO_Colorado/USA_CO_Lamar.Muni.AP.724636_TMY3.zip")</f>
        <v>https://climate.onebuilding.org/WMO_Region_4_North_and_Central_America/USA_United_States_of_America/CO_Colorado/USA_CO_Lamar.Muni.AP.724636_TMY3.zip</v>
      </c>
    </row>
    <row r="239" spans="1:10" x14ac:dyDescent="0.25">
      <c r="A239" t="s">
        <v>15</v>
      </c>
      <c r="B239" t="s">
        <v>244</v>
      </c>
      <c r="C239" t="s">
        <v>264</v>
      </c>
      <c r="D239">
        <v>724673</v>
      </c>
      <c r="E239" t="s">
        <v>13</v>
      </c>
      <c r="F239">
        <v>39.216999999999999</v>
      </c>
      <c r="G239">
        <v>-106.31699999999999</v>
      </c>
      <c r="H239">
        <v>-7</v>
      </c>
      <c r="I239">
        <v>3026</v>
      </c>
      <c r="J239" t="str">
        <f>HYPERLINK("https://climate.onebuilding.org/WMO_Region_4_North_and_Central_America/USA_United_States_of_America/CO_Colorado/USA_CO_Leadville-Lake.County.AP.724673_TMY3.zip")</f>
        <v>https://climate.onebuilding.org/WMO_Region_4_North_and_Central_America/USA_United_States_of_America/CO_Colorado/USA_CO_Leadville-Lake.County.AP.724673_TMY3.zip</v>
      </c>
    </row>
    <row r="240" spans="1:10" x14ac:dyDescent="0.25">
      <c r="A240" t="s">
        <v>15</v>
      </c>
      <c r="B240" t="s">
        <v>244</v>
      </c>
      <c r="C240" t="s">
        <v>265</v>
      </c>
      <c r="D240">
        <v>724665</v>
      </c>
      <c r="E240" t="s">
        <v>13</v>
      </c>
      <c r="F240">
        <v>39.273000000000003</v>
      </c>
      <c r="G240">
        <v>-103.666</v>
      </c>
      <c r="H240">
        <v>-7</v>
      </c>
      <c r="I240">
        <v>1695</v>
      </c>
      <c r="J240" t="str">
        <f>HYPERLINK("https://climate.onebuilding.org/WMO_Region_4_North_and_Central_America/USA_United_States_of_America/CO_Colorado/USA_CO_Limon.Muni.AP.724665_TMY3.zip")</f>
        <v>https://climate.onebuilding.org/WMO_Region_4_North_and_Central_America/USA_United_States_of_America/CO_Colorado/USA_CO_Limon.Muni.AP.724665_TMY3.zip</v>
      </c>
    </row>
    <row r="241" spans="1:10" x14ac:dyDescent="0.25">
      <c r="A241" t="s">
        <v>15</v>
      </c>
      <c r="B241" t="s">
        <v>244</v>
      </c>
      <c r="C241" t="s">
        <v>266</v>
      </c>
      <c r="D241">
        <v>724765</v>
      </c>
      <c r="E241" t="s">
        <v>13</v>
      </c>
      <c r="F241">
        <v>38.5</v>
      </c>
      <c r="G241">
        <v>-107.9</v>
      </c>
      <c r="H241">
        <v>-7</v>
      </c>
      <c r="I241">
        <v>1755</v>
      </c>
      <c r="J241" t="str">
        <f>HYPERLINK("https://climate.onebuilding.org/WMO_Region_4_North_and_Central_America/USA_United_States_of_America/CO_Colorado/USA_CO_Montrose.Rgnl.AP.724765_TMY3.zip")</f>
        <v>https://climate.onebuilding.org/WMO_Region_4_North_and_Central_America/USA_United_States_of_America/CO_Colorado/USA_CO_Montrose.Rgnl.AP.724765_TMY3.zip</v>
      </c>
    </row>
    <row r="242" spans="1:10" x14ac:dyDescent="0.25">
      <c r="A242" t="s">
        <v>15</v>
      </c>
      <c r="B242" t="s">
        <v>244</v>
      </c>
      <c r="C242" t="s">
        <v>267</v>
      </c>
      <c r="D242">
        <v>724640</v>
      </c>
      <c r="E242" t="s">
        <v>13</v>
      </c>
      <c r="F242">
        <v>38.283000000000001</v>
      </c>
      <c r="G242">
        <v>-104.5</v>
      </c>
      <c r="H242">
        <v>-7</v>
      </c>
      <c r="I242">
        <v>1428</v>
      </c>
      <c r="J242" t="str">
        <f>HYPERLINK("https://climate.onebuilding.org/WMO_Region_4_North_and_Central_America/USA_United_States_of_America/CO_Colorado/USA_CO_Pueblo.Meml.AP.724640_TMY3.zip")</f>
        <v>https://climate.onebuilding.org/WMO_Region_4_North_and_Central_America/USA_United_States_of_America/CO_Colorado/USA_CO_Pueblo.Meml.AP.724640_TMY3.zip</v>
      </c>
    </row>
    <row r="243" spans="1:10" x14ac:dyDescent="0.25">
      <c r="A243" t="s">
        <v>15</v>
      </c>
      <c r="B243" t="s">
        <v>244</v>
      </c>
      <c r="C243" t="s">
        <v>268</v>
      </c>
      <c r="D243">
        <v>725717</v>
      </c>
      <c r="E243" t="s">
        <v>13</v>
      </c>
      <c r="F243">
        <v>39.533000000000001</v>
      </c>
      <c r="G243">
        <v>-107.717</v>
      </c>
      <c r="H243">
        <v>-7</v>
      </c>
      <c r="I243">
        <v>1691</v>
      </c>
      <c r="J243" t="str">
        <f>HYPERLINK("https://climate.onebuilding.org/WMO_Region_4_North_and_Central_America/USA_United_States_of_America/CO_Colorado/USA_CO_Rifle-Garfield.County.Rgnl.AP.725717_TMY3.zip")</f>
        <v>https://climate.onebuilding.org/WMO_Region_4_North_and_Central_America/USA_United_States_of_America/CO_Colorado/USA_CO_Rifle-Garfield.County.Rgnl.AP.725717_TMY3.zip</v>
      </c>
    </row>
    <row r="244" spans="1:10" x14ac:dyDescent="0.25">
      <c r="A244" t="s">
        <v>15</v>
      </c>
      <c r="B244" t="s">
        <v>244</v>
      </c>
      <c r="C244" t="s">
        <v>269</v>
      </c>
      <c r="D244">
        <v>724645</v>
      </c>
      <c r="E244" t="s">
        <v>13</v>
      </c>
      <c r="F244">
        <v>37.267000000000003</v>
      </c>
      <c r="G244">
        <v>-104.333</v>
      </c>
      <c r="H244">
        <v>-7</v>
      </c>
      <c r="I244">
        <v>1751</v>
      </c>
      <c r="J244" t="str">
        <f>HYPERLINK("https://climate.onebuilding.org/WMO_Region_4_North_and_Central_America/USA_United_States_of_America/CO_Colorado/USA_CO_Trinidad-Stokes.AP.724645_TMY3.zip")</f>
        <v>https://climate.onebuilding.org/WMO_Region_4_North_and_Central_America/USA_United_States_of_America/CO_Colorado/USA_CO_Trinidad-Stokes.AP.724645_TMY3.zip</v>
      </c>
    </row>
    <row r="245" spans="1:10" x14ac:dyDescent="0.25">
      <c r="A245" t="s">
        <v>15</v>
      </c>
      <c r="B245" t="s">
        <v>270</v>
      </c>
      <c r="C245" t="s">
        <v>271</v>
      </c>
      <c r="D245">
        <v>725040</v>
      </c>
      <c r="E245" t="s">
        <v>13</v>
      </c>
      <c r="F245">
        <v>41.164999999999999</v>
      </c>
      <c r="G245">
        <v>-73.126000000000005</v>
      </c>
      <c r="H245">
        <v>-5</v>
      </c>
      <c r="I245">
        <v>3</v>
      </c>
      <c r="J245" t="str">
        <f>HYPERLINK("https://climate.onebuilding.org/WMO_Region_4_North_and_Central_America/USA_United_States_of_America/CT_Connecticut/USA_CT_Bridgeport-Sikorsky.Meml.AP.725040_TMY3.zip")</f>
        <v>https://climate.onebuilding.org/WMO_Region_4_North_and_Central_America/USA_United_States_of_America/CT_Connecticut/USA_CT_Bridgeport-Sikorsky.Meml.AP.725040_TMY3.zip</v>
      </c>
    </row>
    <row r="246" spans="1:10" x14ac:dyDescent="0.25">
      <c r="A246" t="s">
        <v>15</v>
      </c>
      <c r="B246" t="s">
        <v>270</v>
      </c>
      <c r="C246" t="s">
        <v>272</v>
      </c>
      <c r="D246">
        <v>725086</v>
      </c>
      <c r="E246" t="s">
        <v>13</v>
      </c>
      <c r="F246">
        <v>41.366999999999997</v>
      </c>
      <c r="G246">
        <v>-73.483000000000004</v>
      </c>
      <c r="H246">
        <v>-5</v>
      </c>
      <c r="I246">
        <v>139</v>
      </c>
      <c r="J246" t="str">
        <f>HYPERLINK("https://climate.onebuilding.org/WMO_Region_4_North_and_Central_America/USA_United_States_of_America/CT_Connecticut/USA_CT_Danbury.Muni.AP.725086_TMY3.zip")</f>
        <v>https://climate.onebuilding.org/WMO_Region_4_North_and_Central_America/USA_United_States_of_America/CT_Connecticut/USA_CT_Danbury.Muni.AP.725086_TMY3.zip</v>
      </c>
    </row>
    <row r="247" spans="1:10" x14ac:dyDescent="0.25">
      <c r="A247" t="s">
        <v>15</v>
      </c>
      <c r="B247" t="s">
        <v>270</v>
      </c>
      <c r="C247" t="s">
        <v>273</v>
      </c>
      <c r="D247">
        <v>725046</v>
      </c>
      <c r="E247" t="s">
        <v>13</v>
      </c>
      <c r="F247">
        <v>41.332999999999998</v>
      </c>
      <c r="G247">
        <v>-72.05</v>
      </c>
      <c r="H247">
        <v>-5</v>
      </c>
      <c r="I247">
        <v>3</v>
      </c>
      <c r="J247" t="str">
        <f>HYPERLINK("https://climate.onebuilding.org/WMO_Region_4_North_and_Central_America/USA_United_States_of_America/CT_Connecticut/USA_CT_Groton-New.London.AP.725046_TMY3.zip")</f>
        <v>https://climate.onebuilding.org/WMO_Region_4_North_and_Central_America/USA_United_States_of_America/CT_Connecticut/USA_CT_Groton-New.London.AP.725046_TMY3.zip</v>
      </c>
    </row>
    <row r="248" spans="1:10" x14ac:dyDescent="0.25">
      <c r="A248" t="s">
        <v>15</v>
      </c>
      <c r="B248" t="s">
        <v>270</v>
      </c>
      <c r="C248" t="s">
        <v>274</v>
      </c>
      <c r="D248">
        <v>725080</v>
      </c>
      <c r="E248" t="s">
        <v>13</v>
      </c>
      <c r="F248">
        <v>41.933</v>
      </c>
      <c r="G248">
        <v>-72.683000000000007</v>
      </c>
      <c r="H248">
        <v>-5</v>
      </c>
      <c r="I248">
        <v>49</v>
      </c>
      <c r="J248" t="str">
        <f>HYPERLINK("https://climate.onebuilding.org/WMO_Region_4_North_and_Central_America/USA_United_States_of_America/CT_Connecticut/USA_CT_Hartford-Bradley.Intl.AP.725080_TMY3.zip")</f>
        <v>https://climate.onebuilding.org/WMO_Region_4_North_and_Central_America/USA_United_States_of_America/CT_Connecticut/USA_CT_Hartford-Bradley.Intl.AP.725080_TMY3.zip</v>
      </c>
    </row>
    <row r="249" spans="1:10" x14ac:dyDescent="0.25">
      <c r="A249" t="s">
        <v>15</v>
      </c>
      <c r="B249" t="s">
        <v>270</v>
      </c>
      <c r="C249" t="s">
        <v>275</v>
      </c>
      <c r="D249">
        <v>725087</v>
      </c>
      <c r="E249" t="s">
        <v>13</v>
      </c>
      <c r="F249">
        <v>41.732999999999997</v>
      </c>
      <c r="G249">
        <v>-72.650000000000006</v>
      </c>
      <c r="H249">
        <v>-5</v>
      </c>
      <c r="I249">
        <v>6</v>
      </c>
      <c r="J249" t="str">
        <f>HYPERLINK("https://climate.onebuilding.org/WMO_Region_4_North_and_Central_America/USA_United_States_of_America/CT_Connecticut/USA_CT_Hartford-Brainard.AP.725087_TMY3.zip")</f>
        <v>https://climate.onebuilding.org/WMO_Region_4_North_and_Central_America/USA_United_States_of_America/CT_Connecticut/USA_CT_Hartford-Brainard.AP.725087_TMY3.zip</v>
      </c>
    </row>
    <row r="250" spans="1:10" x14ac:dyDescent="0.25">
      <c r="A250" t="s">
        <v>15</v>
      </c>
      <c r="B250" t="s">
        <v>270</v>
      </c>
      <c r="C250" t="s">
        <v>276</v>
      </c>
      <c r="D250">
        <v>725045</v>
      </c>
      <c r="E250" t="s">
        <v>13</v>
      </c>
      <c r="F250">
        <v>41.267000000000003</v>
      </c>
      <c r="G250">
        <v>-72.882999999999996</v>
      </c>
      <c r="H250">
        <v>-5</v>
      </c>
      <c r="I250">
        <v>2</v>
      </c>
      <c r="J250" t="str">
        <f>HYPERLINK("https://climate.onebuilding.org/WMO_Region_4_North_and_Central_America/USA_United_States_of_America/CT_Connecticut/USA_CT_Tweed.New.Haven.AP.725045_TMY3.zip")</f>
        <v>https://climate.onebuilding.org/WMO_Region_4_North_and_Central_America/USA_United_States_of_America/CT_Connecticut/USA_CT_Tweed.New.Haven.AP.725045_TMY3.zip</v>
      </c>
    </row>
    <row r="251" spans="1:10" x14ac:dyDescent="0.25">
      <c r="A251" t="s">
        <v>15</v>
      </c>
      <c r="B251" t="s">
        <v>270</v>
      </c>
      <c r="C251" t="s">
        <v>277</v>
      </c>
      <c r="D251">
        <v>725029</v>
      </c>
      <c r="E251" t="s">
        <v>13</v>
      </c>
      <c r="F251">
        <v>41.482999999999997</v>
      </c>
      <c r="G251">
        <v>-73.132999999999996</v>
      </c>
      <c r="H251">
        <v>-5</v>
      </c>
      <c r="I251">
        <v>222</v>
      </c>
      <c r="J251" t="str">
        <f>HYPERLINK("https://climate.onebuilding.org/WMO_Region_4_North_and_Central_America/USA_United_States_of_America/CT_Connecticut/USA_CT_Waterbury-Oxford.AP.725029_TMY3.zip")</f>
        <v>https://climate.onebuilding.org/WMO_Region_4_North_and_Central_America/USA_United_States_of_America/CT_Connecticut/USA_CT_Waterbury-Oxford.AP.725029_TMY3.zip</v>
      </c>
    </row>
    <row r="252" spans="1:10" x14ac:dyDescent="0.25">
      <c r="A252" t="s">
        <v>15</v>
      </c>
      <c r="B252" t="s">
        <v>278</v>
      </c>
      <c r="C252" t="s">
        <v>279</v>
      </c>
      <c r="D252">
        <v>724088</v>
      </c>
      <c r="E252" t="s">
        <v>13</v>
      </c>
      <c r="F252">
        <v>39.133000000000003</v>
      </c>
      <c r="G252">
        <v>-75.466999999999999</v>
      </c>
      <c r="H252">
        <v>-5</v>
      </c>
      <c r="I252">
        <v>7</v>
      </c>
      <c r="J252" t="str">
        <f>HYPERLINK("https://climate.onebuilding.org/WMO_Region_4_North_and_Central_America/USA_United_States_of_America/DE_Delaware/USA_DE_Dover.AFB.724088_TMY3.zip")</f>
        <v>https://climate.onebuilding.org/WMO_Region_4_North_and_Central_America/USA_United_States_of_America/DE_Delaware/USA_DE_Dover.AFB.724088_TMY3.zip</v>
      </c>
    </row>
    <row r="253" spans="1:10" x14ac:dyDescent="0.25">
      <c r="A253" t="s">
        <v>15</v>
      </c>
      <c r="B253" t="s">
        <v>278</v>
      </c>
      <c r="C253" t="s">
        <v>280</v>
      </c>
      <c r="D253">
        <v>724089</v>
      </c>
      <c r="E253" t="s">
        <v>13</v>
      </c>
      <c r="F253">
        <v>39.667000000000002</v>
      </c>
      <c r="G253">
        <v>-75.599999999999994</v>
      </c>
      <c r="H253">
        <v>-5</v>
      </c>
      <c r="I253">
        <v>23</v>
      </c>
      <c r="J253" t="str">
        <f>HYPERLINK("https://climate.onebuilding.org/WMO_Region_4_North_and_Central_America/USA_United_States_of_America/DE_Delaware/USA_DE_Wilmington.AP.724089_TMY3.zip")</f>
        <v>https://climate.onebuilding.org/WMO_Region_4_North_and_Central_America/USA_United_States_of_America/DE_Delaware/USA_DE_Wilmington.AP.724089_TMY3.zip</v>
      </c>
    </row>
    <row r="254" spans="1:10" x14ac:dyDescent="0.25">
      <c r="A254" t="s">
        <v>15</v>
      </c>
      <c r="B254" t="s">
        <v>281</v>
      </c>
      <c r="C254" t="s">
        <v>282</v>
      </c>
      <c r="D254">
        <v>722215</v>
      </c>
      <c r="E254" t="s">
        <v>13</v>
      </c>
      <c r="F254">
        <v>30.783000000000001</v>
      </c>
      <c r="G254">
        <v>-86.516999999999996</v>
      </c>
      <c r="H254">
        <v>-6</v>
      </c>
      <c r="I254">
        <v>58</v>
      </c>
      <c r="J254" t="str">
        <f>HYPERLINK("https://climate.onebuilding.org/WMO_Region_4_North_and_Central_America/USA_United_States_of_America/FL_Florida/USA_FL_Crestview-Bob.Sikes.AP.722215_TMY3.zip")</f>
        <v>https://climate.onebuilding.org/WMO_Region_4_North_and_Central_America/USA_United_States_of_America/FL_Florida/USA_FL_Crestview-Bob.Sikes.AP.722215_TMY3.zip</v>
      </c>
    </row>
    <row r="255" spans="1:10" x14ac:dyDescent="0.25">
      <c r="A255" t="s">
        <v>15</v>
      </c>
      <c r="B255" t="s">
        <v>281</v>
      </c>
      <c r="C255" t="s">
        <v>283</v>
      </c>
      <c r="D255">
        <v>747870</v>
      </c>
      <c r="E255" t="s">
        <v>13</v>
      </c>
      <c r="F255">
        <v>29.183</v>
      </c>
      <c r="G255">
        <v>-81.066999999999993</v>
      </c>
      <c r="H255">
        <v>-5</v>
      </c>
      <c r="I255">
        <v>9</v>
      </c>
      <c r="J255" t="str">
        <f>HYPERLINK("https://climate.onebuilding.org/WMO_Region_4_North_and_Central_America/USA_United_States_of_America/FL_Florida/USA_FL_Daytona.Beach.Intl.AP.747870_TMY3.zip")</f>
        <v>https://climate.onebuilding.org/WMO_Region_4_North_and_Central_America/USA_United_States_of_America/FL_Florida/USA_FL_Daytona.Beach.Intl.AP.747870_TMY3.zip</v>
      </c>
    </row>
    <row r="256" spans="1:10" x14ac:dyDescent="0.25">
      <c r="A256" t="s">
        <v>15</v>
      </c>
      <c r="B256" t="s">
        <v>281</v>
      </c>
      <c r="C256" t="s">
        <v>284</v>
      </c>
      <c r="D256">
        <v>722039</v>
      </c>
      <c r="E256" t="s">
        <v>13</v>
      </c>
      <c r="F256">
        <v>26.2</v>
      </c>
      <c r="G256">
        <v>-80.167000000000002</v>
      </c>
      <c r="H256">
        <v>-5</v>
      </c>
      <c r="I256">
        <v>4</v>
      </c>
      <c r="J256" t="str">
        <f>HYPERLINK("https://climate.onebuilding.org/WMO_Region_4_North_and_Central_America/USA_United_States_of_America/FL_Florida/USA_FL_Fort.Lauderdale.Exec.AP.722039_TMY3.zip")</f>
        <v>https://climate.onebuilding.org/WMO_Region_4_North_and_Central_America/USA_United_States_of_America/FL_Florida/USA_FL_Fort.Lauderdale.Exec.AP.722039_TMY3.zip</v>
      </c>
    </row>
    <row r="257" spans="1:10" x14ac:dyDescent="0.25">
      <c r="A257" t="s">
        <v>15</v>
      </c>
      <c r="B257" t="s">
        <v>281</v>
      </c>
      <c r="C257" t="s">
        <v>285</v>
      </c>
      <c r="D257">
        <v>747830</v>
      </c>
      <c r="E257" t="s">
        <v>13</v>
      </c>
      <c r="F257">
        <v>26.067</v>
      </c>
      <c r="G257">
        <v>-80.150000000000006</v>
      </c>
      <c r="H257">
        <v>-5</v>
      </c>
      <c r="I257">
        <v>3</v>
      </c>
      <c r="J257" t="str">
        <f>HYPERLINK("https://climate.onebuilding.org/WMO_Region_4_North_and_Central_America/USA_United_States_of_America/FL_Florida/USA_FL_Fort.Lauderdale-Hollywood.Intl.AP.747830_TMY3.zip")</f>
        <v>https://climate.onebuilding.org/WMO_Region_4_North_and_Central_America/USA_United_States_of_America/FL_Florida/USA_FL_Fort.Lauderdale-Hollywood.Intl.AP.747830_TMY3.zip</v>
      </c>
    </row>
    <row r="258" spans="1:10" x14ac:dyDescent="0.25">
      <c r="A258" t="s">
        <v>15</v>
      </c>
      <c r="B258" t="s">
        <v>281</v>
      </c>
      <c r="C258" t="s">
        <v>286</v>
      </c>
      <c r="D258">
        <v>722106</v>
      </c>
      <c r="E258" t="s">
        <v>13</v>
      </c>
      <c r="F258">
        <v>26.582999999999998</v>
      </c>
      <c r="G258">
        <v>-81.867000000000004</v>
      </c>
      <c r="H258">
        <v>-5</v>
      </c>
      <c r="I258">
        <v>5</v>
      </c>
      <c r="J258" t="str">
        <f>HYPERLINK("https://climate.onebuilding.org/WMO_Region_4_North_and_Central_America/USA_United_States_of_America/FL_Florida/USA_FL_Fort.Myers-Page.Field.722106_TMY3.zip")</f>
        <v>https://climate.onebuilding.org/WMO_Region_4_North_and_Central_America/USA_United_States_of_America/FL_Florida/USA_FL_Fort.Myers-Page.Field.722106_TMY3.zip</v>
      </c>
    </row>
    <row r="259" spans="1:10" x14ac:dyDescent="0.25">
      <c r="A259" t="s">
        <v>15</v>
      </c>
      <c r="B259" t="s">
        <v>281</v>
      </c>
      <c r="C259" t="s">
        <v>287</v>
      </c>
      <c r="D259">
        <v>722103</v>
      </c>
      <c r="E259" t="s">
        <v>13</v>
      </c>
      <c r="F259">
        <v>27.483000000000001</v>
      </c>
      <c r="G259">
        <v>-80.367000000000004</v>
      </c>
      <c r="H259">
        <v>-5</v>
      </c>
      <c r="I259">
        <v>7</v>
      </c>
      <c r="J259" t="str">
        <f>HYPERLINK("https://climate.onebuilding.org/WMO_Region_4_North_and_Central_America/USA_United_States_of_America/FL_Florida/USA_FL_Fort.Pierce-St.Lucie.County.Intl.AP.722103_TMY3.zip")</f>
        <v>https://climate.onebuilding.org/WMO_Region_4_North_and_Central_America/USA_United_States_of_America/FL_Florida/USA_FL_Fort.Pierce-St.Lucie.County.Intl.AP.722103_TMY3.zip</v>
      </c>
    </row>
    <row r="260" spans="1:10" x14ac:dyDescent="0.25">
      <c r="A260" t="s">
        <v>15</v>
      </c>
      <c r="B260" t="s">
        <v>281</v>
      </c>
      <c r="C260" t="s">
        <v>288</v>
      </c>
      <c r="D260">
        <v>747770</v>
      </c>
      <c r="E260" t="s">
        <v>13</v>
      </c>
      <c r="F260">
        <v>30.417000000000002</v>
      </c>
      <c r="G260">
        <v>-86.683000000000007</v>
      </c>
      <c r="H260">
        <v>-6</v>
      </c>
      <c r="I260">
        <v>12</v>
      </c>
      <c r="J260" t="str">
        <f>HYPERLINK("https://climate.onebuilding.org/WMO_Region_4_North_and_Central_America/USA_United_States_of_America/FL_Florida/USA_FL_Fort.Walton.Beach-Hurlburt.Field.747770_TMY3.zip")</f>
        <v>https://climate.onebuilding.org/WMO_Region_4_North_and_Central_America/USA_United_States_of_America/FL_Florida/USA_FL_Fort.Walton.Beach-Hurlburt.Field.747770_TMY3.zip</v>
      </c>
    </row>
    <row r="261" spans="1:10" x14ac:dyDescent="0.25">
      <c r="A261" t="s">
        <v>15</v>
      </c>
      <c r="B261" t="s">
        <v>281</v>
      </c>
      <c r="C261" t="s">
        <v>289</v>
      </c>
      <c r="D261">
        <v>747560</v>
      </c>
      <c r="E261" t="s">
        <v>13</v>
      </c>
      <c r="F261">
        <v>29.7</v>
      </c>
      <c r="G261">
        <v>-82.283000000000001</v>
      </c>
      <c r="H261">
        <v>-5</v>
      </c>
      <c r="I261">
        <v>41</v>
      </c>
      <c r="J261" t="str">
        <f>HYPERLINK("https://climate.onebuilding.org/WMO_Region_4_North_and_Central_America/USA_United_States_of_America/FL_Florida/USA_FL_Gainesville.Rgnl.AP.747560_TMY3.zip")</f>
        <v>https://climate.onebuilding.org/WMO_Region_4_North_and_Central_America/USA_United_States_of_America/FL_Florida/USA_FL_Gainesville.Rgnl.AP.747560_TMY3.zip</v>
      </c>
    </row>
    <row r="262" spans="1:10" x14ac:dyDescent="0.25">
      <c r="A262" t="s">
        <v>15</v>
      </c>
      <c r="B262" t="s">
        <v>281</v>
      </c>
      <c r="C262" t="s">
        <v>290</v>
      </c>
      <c r="D262">
        <v>722026</v>
      </c>
      <c r="E262" t="s">
        <v>13</v>
      </c>
      <c r="F262">
        <v>25.483000000000001</v>
      </c>
      <c r="G262">
        <v>-80.382999999999996</v>
      </c>
      <c r="H262">
        <v>-5</v>
      </c>
      <c r="I262">
        <v>5</v>
      </c>
      <c r="J262" t="str">
        <f>HYPERLINK("https://climate.onebuilding.org/WMO_Region_4_North_and_Central_America/USA_United_States_of_America/FL_Florida/USA_FL_Homestead.ARB.722026_TMY3.zip")</f>
        <v>https://climate.onebuilding.org/WMO_Region_4_North_and_Central_America/USA_United_States_of_America/FL_Florida/USA_FL_Homestead.ARB.722026_TMY3.zip</v>
      </c>
    </row>
    <row r="263" spans="1:10" x14ac:dyDescent="0.25">
      <c r="A263" t="s">
        <v>15</v>
      </c>
      <c r="B263" t="s">
        <v>281</v>
      </c>
      <c r="C263" t="s">
        <v>291</v>
      </c>
      <c r="D263">
        <v>747820</v>
      </c>
      <c r="E263" t="s">
        <v>13</v>
      </c>
      <c r="F263">
        <v>30.332999999999998</v>
      </c>
      <c r="G263">
        <v>-81.516999999999996</v>
      </c>
      <c r="H263">
        <v>-5</v>
      </c>
      <c r="I263">
        <v>12</v>
      </c>
      <c r="J263" t="str">
        <f>HYPERLINK("https://climate.onebuilding.org/WMO_Region_4_North_and_Central_America/USA_United_States_of_America/FL_Florida/USA_FL_Jacksonville.Exec-Craig.AP.747820_TMY3.zip")</f>
        <v>https://climate.onebuilding.org/WMO_Region_4_North_and_Central_America/USA_United_States_of_America/FL_Florida/USA_FL_Jacksonville.Exec-Craig.AP.747820_TMY3.zip</v>
      </c>
    </row>
    <row r="264" spans="1:10" x14ac:dyDescent="0.25">
      <c r="A264" t="s">
        <v>15</v>
      </c>
      <c r="B264" t="s">
        <v>281</v>
      </c>
      <c r="C264" t="s">
        <v>292</v>
      </c>
      <c r="D264">
        <v>722060</v>
      </c>
      <c r="E264" t="s">
        <v>13</v>
      </c>
      <c r="F264">
        <v>30.5</v>
      </c>
      <c r="G264">
        <v>-81.7</v>
      </c>
      <c r="H264">
        <v>-5</v>
      </c>
      <c r="I264">
        <v>8</v>
      </c>
      <c r="J264" t="str">
        <f>HYPERLINK("https://climate.onebuilding.org/WMO_Region_4_North_and_Central_America/USA_United_States_of_America/FL_Florida/USA_FL_Jacksonville.Intl.AP.722060_TMY3.zip")</f>
        <v>https://climate.onebuilding.org/WMO_Region_4_North_and_Central_America/USA_United_States_of_America/FL_Florida/USA_FL_Jacksonville.Intl.AP.722060_TMY3.zip</v>
      </c>
    </row>
    <row r="265" spans="1:10" x14ac:dyDescent="0.25">
      <c r="A265" t="s">
        <v>15</v>
      </c>
      <c r="B265" t="s">
        <v>281</v>
      </c>
      <c r="C265" t="s">
        <v>293</v>
      </c>
      <c r="D265">
        <v>722065</v>
      </c>
      <c r="E265" t="s">
        <v>13</v>
      </c>
      <c r="F265">
        <v>30.233000000000001</v>
      </c>
      <c r="G265">
        <v>-81.667000000000002</v>
      </c>
      <c r="H265">
        <v>-5</v>
      </c>
      <c r="I265">
        <v>9</v>
      </c>
      <c r="J265" t="str">
        <f>HYPERLINK("https://climate.onebuilding.org/WMO_Region_4_North_and_Central_America/USA_United_States_of_America/FL_Florida/USA_FL_NAS.Jacksonville-Towers.Field.722065_TMY3.zip")</f>
        <v>https://climate.onebuilding.org/WMO_Region_4_North_and_Central_America/USA_United_States_of_America/FL_Florida/USA_FL_NAS.Jacksonville-Towers.Field.722065_TMY3.zip</v>
      </c>
    </row>
    <row r="266" spans="1:10" x14ac:dyDescent="0.25">
      <c r="A266" t="s">
        <v>15</v>
      </c>
      <c r="B266" t="s">
        <v>281</v>
      </c>
      <c r="C266" t="s">
        <v>294</v>
      </c>
      <c r="D266">
        <v>722010</v>
      </c>
      <c r="E266" t="s">
        <v>13</v>
      </c>
      <c r="F266">
        <v>24.556999999999999</v>
      </c>
      <c r="G266">
        <v>-81.760000000000005</v>
      </c>
      <c r="H266">
        <v>-5</v>
      </c>
      <c r="I266">
        <v>1</v>
      </c>
      <c r="J266" t="str">
        <f>HYPERLINK("https://climate.onebuilding.org/WMO_Region_4_North_and_Central_America/USA_United_States_of_America/FL_Florida/USA_FL_Key.West.Intl.AP.722010_TMY3.zip")</f>
        <v>https://climate.onebuilding.org/WMO_Region_4_North_and_Central_America/USA_United_States_of_America/FL_Florida/USA_FL_Key.West.Intl.AP.722010_TMY3.zip</v>
      </c>
    </row>
    <row r="267" spans="1:10" x14ac:dyDescent="0.25">
      <c r="A267" t="s">
        <v>15</v>
      </c>
      <c r="B267" t="s">
        <v>281</v>
      </c>
      <c r="C267" t="s">
        <v>295</v>
      </c>
      <c r="D267">
        <v>722015</v>
      </c>
      <c r="E267" t="s">
        <v>13</v>
      </c>
      <c r="F267">
        <v>24.582999999999998</v>
      </c>
      <c r="G267">
        <v>-81.683000000000007</v>
      </c>
      <c r="H267">
        <v>-5</v>
      </c>
      <c r="I267">
        <v>7</v>
      </c>
      <c r="J267" t="str">
        <f>HYPERLINK("https://climate.onebuilding.org/WMO_Region_4_North_and_Central_America/USA_United_States_of_America/FL_Florida/USA_FL_NAS.Key.West.722015_TMY3.zip")</f>
        <v>https://climate.onebuilding.org/WMO_Region_4_North_and_Central_America/USA_United_States_of_America/FL_Florida/USA_FL_NAS.Key.West.722015_TMY3.zip</v>
      </c>
    </row>
    <row r="268" spans="1:10" x14ac:dyDescent="0.25">
      <c r="A268" t="s">
        <v>15</v>
      </c>
      <c r="B268" t="s">
        <v>281</v>
      </c>
      <c r="C268" t="s">
        <v>296</v>
      </c>
      <c r="D268">
        <v>722119</v>
      </c>
      <c r="E268" t="s">
        <v>13</v>
      </c>
      <c r="F268">
        <v>27.983000000000001</v>
      </c>
      <c r="G268">
        <v>-82.016999999999996</v>
      </c>
      <c r="H268">
        <v>-5</v>
      </c>
      <c r="I268">
        <v>43</v>
      </c>
      <c r="J268" t="str">
        <f>HYPERLINK("https://climate.onebuilding.org/WMO_Region_4_North_and_Central_America/USA_United_States_of_America/FL_Florida/USA_FL_Lakeland.Linder.Rgnl.AP.722119_TMY3.zip")</f>
        <v>https://climate.onebuilding.org/WMO_Region_4_North_and_Central_America/USA_United_States_of_America/FL_Florida/USA_FL_Lakeland.Linder.Rgnl.AP.722119_TMY3.zip</v>
      </c>
    </row>
    <row r="269" spans="1:10" x14ac:dyDescent="0.25">
      <c r="A269" t="s">
        <v>15</v>
      </c>
      <c r="B269" t="s">
        <v>281</v>
      </c>
      <c r="C269" t="s">
        <v>297</v>
      </c>
      <c r="D269">
        <v>747880</v>
      </c>
      <c r="E269" t="s">
        <v>13</v>
      </c>
      <c r="F269">
        <v>27.85</v>
      </c>
      <c r="G269">
        <v>-82.516999999999996</v>
      </c>
      <c r="H269">
        <v>-5</v>
      </c>
      <c r="I269">
        <v>8</v>
      </c>
      <c r="J269" t="str">
        <f>HYPERLINK("https://climate.onebuilding.org/WMO_Region_4_North_and_Central_America/USA_United_States_of_America/FL_Florida/USA_FL_Tampa-MacDill.AFB.747880_TMY3.zip")</f>
        <v>https://climate.onebuilding.org/WMO_Region_4_North_and_Central_America/USA_United_States_of_America/FL_Florida/USA_FL_Tampa-MacDill.AFB.747880_TMY3.zip</v>
      </c>
    </row>
    <row r="270" spans="1:10" x14ac:dyDescent="0.25">
      <c r="A270" t="s">
        <v>15</v>
      </c>
      <c r="B270" t="s">
        <v>281</v>
      </c>
      <c r="C270" t="s">
        <v>298</v>
      </c>
      <c r="D270">
        <v>722016</v>
      </c>
      <c r="E270" t="s">
        <v>13</v>
      </c>
      <c r="F270">
        <v>24.733000000000001</v>
      </c>
      <c r="G270">
        <v>-81.05</v>
      </c>
      <c r="H270">
        <v>-5</v>
      </c>
      <c r="I270">
        <v>2</v>
      </c>
      <c r="J270" t="str">
        <f>HYPERLINK("https://climate.onebuilding.org/WMO_Region_4_North_and_Central_America/USA_United_States_of_America/FL_Florida/USA_FL_Florida.Keys.Marathon.AP.722016_TMY3.zip")</f>
        <v>https://climate.onebuilding.org/WMO_Region_4_North_and_Central_America/USA_United_States_of_America/FL_Florida/USA_FL_Florida.Keys.Marathon.AP.722016_TMY3.zip</v>
      </c>
    </row>
    <row r="271" spans="1:10" x14ac:dyDescent="0.25">
      <c r="A271" t="s">
        <v>15</v>
      </c>
      <c r="B271" t="s">
        <v>281</v>
      </c>
      <c r="C271" t="s">
        <v>299</v>
      </c>
      <c r="D271">
        <v>722066</v>
      </c>
      <c r="E271" t="s">
        <v>13</v>
      </c>
      <c r="F271">
        <v>30.4</v>
      </c>
      <c r="G271">
        <v>-81.417000000000002</v>
      </c>
      <c r="H271">
        <v>-5</v>
      </c>
      <c r="I271">
        <v>5</v>
      </c>
      <c r="J271" t="str">
        <f>HYPERLINK("https://climate.onebuilding.org/WMO_Region_4_North_and_Central_America/USA_United_States_of_America/FL_Florida/USA_FL_Jacksonville-NS.Mayport.722066_TMY3.zip")</f>
        <v>https://climate.onebuilding.org/WMO_Region_4_North_and_Central_America/USA_United_States_of_America/FL_Florida/USA_FL_Jacksonville-NS.Mayport.722066_TMY3.zip</v>
      </c>
    </row>
    <row r="272" spans="1:10" x14ac:dyDescent="0.25">
      <c r="A272" t="s">
        <v>15</v>
      </c>
      <c r="B272" t="s">
        <v>281</v>
      </c>
      <c r="C272" t="s">
        <v>300</v>
      </c>
      <c r="D272">
        <v>722040</v>
      </c>
      <c r="E272" t="s">
        <v>13</v>
      </c>
      <c r="F272">
        <v>28.1</v>
      </c>
      <c r="G272">
        <v>-80.650000000000006</v>
      </c>
      <c r="H272">
        <v>-5</v>
      </c>
      <c r="I272">
        <v>11</v>
      </c>
      <c r="J272" t="str">
        <f>HYPERLINK("https://climate.onebuilding.org/WMO_Region_4_North_and_Central_America/USA_United_States_of_America/FL_Florida/USA_FL_Melbourne.Rgnl.AP.722040_TMY3.zip")</f>
        <v>https://climate.onebuilding.org/WMO_Region_4_North_and_Central_America/USA_United_States_of_America/FL_Florida/USA_FL_Melbourne.Rgnl.AP.722040_TMY3.zip</v>
      </c>
    </row>
    <row r="273" spans="1:10" x14ac:dyDescent="0.25">
      <c r="A273" t="s">
        <v>15</v>
      </c>
      <c r="B273" t="s">
        <v>281</v>
      </c>
      <c r="C273" t="s">
        <v>301</v>
      </c>
      <c r="D273">
        <v>722029</v>
      </c>
      <c r="E273" t="s">
        <v>13</v>
      </c>
      <c r="F273">
        <v>25.65</v>
      </c>
      <c r="G273">
        <v>-80.433000000000007</v>
      </c>
      <c r="H273">
        <v>-5</v>
      </c>
      <c r="I273">
        <v>3</v>
      </c>
      <c r="J273" t="str">
        <f>HYPERLINK("https://climate.onebuilding.org/WMO_Region_4_North_and_Central_America/USA_United_States_of_America/FL_Florida/USA_FL_Miami.Exec.AP.722029_TMY3.zip")</f>
        <v>https://climate.onebuilding.org/WMO_Region_4_North_and_Central_America/USA_United_States_of_America/FL_Florida/USA_FL_Miami.Exec.AP.722029_TMY3.zip</v>
      </c>
    </row>
    <row r="274" spans="1:10" x14ac:dyDescent="0.25">
      <c r="A274" t="s">
        <v>15</v>
      </c>
      <c r="B274" t="s">
        <v>281</v>
      </c>
      <c r="C274" t="s">
        <v>302</v>
      </c>
      <c r="D274">
        <v>722024</v>
      </c>
      <c r="E274" t="s">
        <v>13</v>
      </c>
      <c r="F274">
        <v>25.9</v>
      </c>
      <c r="G274">
        <v>-80.283000000000001</v>
      </c>
      <c r="H274">
        <v>-5</v>
      </c>
      <c r="I274">
        <v>3</v>
      </c>
      <c r="J274" t="str">
        <f>HYPERLINK("https://climate.onebuilding.org/WMO_Region_4_North_and_Central_America/USA_United_States_of_America/FL_Florida/USA_FL_Miami-Opa.Locka.Exec.AP.722024_TMY3.zip")</f>
        <v>https://climate.onebuilding.org/WMO_Region_4_North_and_Central_America/USA_United_States_of_America/FL_Florida/USA_FL_Miami-Opa.Locka.Exec.AP.722024_TMY3.zip</v>
      </c>
    </row>
    <row r="275" spans="1:10" x14ac:dyDescent="0.25">
      <c r="A275" t="s">
        <v>15</v>
      </c>
      <c r="B275" t="s">
        <v>281</v>
      </c>
      <c r="C275" t="s">
        <v>303</v>
      </c>
      <c r="D275">
        <v>722020</v>
      </c>
      <c r="E275" t="s">
        <v>13</v>
      </c>
      <c r="F275">
        <v>25.8</v>
      </c>
      <c r="G275">
        <v>-80.3</v>
      </c>
      <c r="H275">
        <v>-5</v>
      </c>
      <c r="I275">
        <v>11</v>
      </c>
      <c r="J275" t="str">
        <f>HYPERLINK("https://climate.onebuilding.org/WMO_Region_4_North_and_Central_America/USA_United_States_of_America/FL_Florida/USA_FL_Miami.Intl.AP.722020_TMY3.zip")</f>
        <v>https://climate.onebuilding.org/WMO_Region_4_North_and_Central_America/USA_United_States_of_America/FL_Florida/USA_FL_Miami.Intl.AP.722020_TMY3.zip</v>
      </c>
    </row>
    <row r="276" spans="1:10" x14ac:dyDescent="0.25">
      <c r="A276" t="s">
        <v>15</v>
      </c>
      <c r="B276" t="s">
        <v>281</v>
      </c>
      <c r="C276" t="s">
        <v>304</v>
      </c>
      <c r="D276">
        <v>747946</v>
      </c>
      <c r="E276" t="s">
        <v>13</v>
      </c>
      <c r="F276">
        <v>28.617000000000001</v>
      </c>
      <c r="G276">
        <v>-80.716999999999999</v>
      </c>
      <c r="H276">
        <v>-5</v>
      </c>
      <c r="I276">
        <v>3</v>
      </c>
      <c r="J276" t="str">
        <f>HYPERLINK("https://climate.onebuilding.org/WMO_Region_4_North_and_Central_America/USA_United_States_of_America/FL_Florida/USA_FL_Kennedy.Space.Center-NASA.Shuttle.Landing.Facility.747946_TMY3.zip")</f>
        <v>https://climate.onebuilding.org/WMO_Region_4_North_and_Central_America/USA_United_States_of_America/FL_Florida/USA_FL_Kennedy.Space.Center-NASA.Shuttle.Landing.Facility.747946_TMY3.zip</v>
      </c>
    </row>
    <row r="277" spans="1:10" x14ac:dyDescent="0.25">
      <c r="A277" t="s">
        <v>15</v>
      </c>
      <c r="B277" t="s">
        <v>281</v>
      </c>
      <c r="C277" t="s">
        <v>305</v>
      </c>
      <c r="D277">
        <v>722038</v>
      </c>
      <c r="E277" t="s">
        <v>13</v>
      </c>
      <c r="F277">
        <v>26.15</v>
      </c>
      <c r="G277">
        <v>-81.766999999999996</v>
      </c>
      <c r="H277">
        <v>-5</v>
      </c>
      <c r="I277">
        <v>3</v>
      </c>
      <c r="J277" t="str">
        <f>HYPERLINK("https://climate.onebuilding.org/WMO_Region_4_North_and_Central_America/USA_United_States_of_America/FL_Florida/USA_FL_Naples.Muni.AP.722038_TMY3.zip")</f>
        <v>https://climate.onebuilding.org/WMO_Region_4_North_and_Central_America/USA_United_States_of_America/FL_Florida/USA_FL_Naples.Muni.AP.722038_TMY3.zip</v>
      </c>
    </row>
    <row r="278" spans="1:10" x14ac:dyDescent="0.25">
      <c r="A278" t="s">
        <v>15</v>
      </c>
      <c r="B278" t="s">
        <v>281</v>
      </c>
      <c r="C278" t="s">
        <v>306</v>
      </c>
      <c r="D278">
        <v>722055</v>
      </c>
      <c r="E278" t="s">
        <v>13</v>
      </c>
      <c r="F278">
        <v>29.167000000000002</v>
      </c>
      <c r="G278">
        <v>-82.216999999999999</v>
      </c>
      <c r="H278">
        <v>-5</v>
      </c>
      <c r="I278">
        <v>27</v>
      </c>
      <c r="J278" t="str">
        <f>HYPERLINK("https://climate.onebuilding.org/WMO_Region_4_North_and_Central_America/USA_United_States_of_America/FL_Florida/USA_FL_Ocala.Intl.AP.722055_TMY3.zip")</f>
        <v>https://climate.onebuilding.org/WMO_Region_4_North_and_Central_America/USA_United_States_of_America/FL_Florida/USA_FL_Ocala.Intl.AP.722055_TMY3.zip</v>
      </c>
    </row>
    <row r="279" spans="1:10" x14ac:dyDescent="0.25">
      <c r="A279" t="s">
        <v>15</v>
      </c>
      <c r="B279" t="s">
        <v>281</v>
      </c>
      <c r="C279" t="s">
        <v>307</v>
      </c>
      <c r="D279">
        <v>722057</v>
      </c>
      <c r="E279" t="s">
        <v>13</v>
      </c>
      <c r="F279">
        <v>28.783000000000001</v>
      </c>
      <c r="G279">
        <v>-81.25</v>
      </c>
      <c r="H279">
        <v>-5</v>
      </c>
      <c r="I279">
        <v>17</v>
      </c>
      <c r="J279" t="str">
        <f>HYPERLINK("https://climate.onebuilding.org/WMO_Region_4_North_and_Central_America/USA_United_States_of_America/FL_Florida/USA_FL_Orlando.Sanford.Intl.AP.722057_TMY3.zip")</f>
        <v>https://climate.onebuilding.org/WMO_Region_4_North_and_Central_America/USA_United_States_of_America/FL_Florida/USA_FL_Orlando.Sanford.Intl.AP.722057_TMY3.zip</v>
      </c>
    </row>
    <row r="280" spans="1:10" x14ac:dyDescent="0.25">
      <c r="A280" t="s">
        <v>15</v>
      </c>
      <c r="B280" t="s">
        <v>281</v>
      </c>
      <c r="C280" t="s">
        <v>308</v>
      </c>
      <c r="D280">
        <v>722053</v>
      </c>
      <c r="E280" t="s">
        <v>13</v>
      </c>
      <c r="F280">
        <v>28.55</v>
      </c>
      <c r="G280">
        <v>-81.332999999999998</v>
      </c>
      <c r="H280">
        <v>-5</v>
      </c>
      <c r="I280">
        <v>33</v>
      </c>
      <c r="J280" t="str">
        <f>HYPERLINK("https://climate.onebuilding.org/WMO_Region_4_North_and_Central_America/USA_United_States_of_America/FL_Florida/USA_FL_Orlando.Exec.AP.722053_TMY3.zip")</f>
        <v>https://climate.onebuilding.org/WMO_Region_4_North_and_Central_America/USA_United_States_of_America/FL_Florida/USA_FL_Orlando.Exec.AP.722053_TMY3.zip</v>
      </c>
    </row>
    <row r="281" spans="1:10" x14ac:dyDescent="0.25">
      <c r="A281" t="s">
        <v>15</v>
      </c>
      <c r="B281" t="s">
        <v>281</v>
      </c>
      <c r="C281" t="s">
        <v>309</v>
      </c>
      <c r="D281">
        <v>722050</v>
      </c>
      <c r="E281" t="s">
        <v>13</v>
      </c>
      <c r="F281">
        <v>28.433</v>
      </c>
      <c r="G281">
        <v>-81.332999999999998</v>
      </c>
      <c r="H281">
        <v>-5</v>
      </c>
      <c r="I281">
        <v>29</v>
      </c>
      <c r="J281" t="str">
        <f>HYPERLINK("https://climate.onebuilding.org/WMO_Region_4_North_and_Central_America/USA_United_States_of_America/FL_Florida/USA_FL_Orlando.Intl.AP.722050_TMY3.zip")</f>
        <v>https://climate.onebuilding.org/WMO_Region_4_North_and_Central_America/USA_United_States_of_America/FL_Florida/USA_FL_Orlando.Intl.AP.722050_TMY3.zip</v>
      </c>
    </row>
    <row r="282" spans="1:10" x14ac:dyDescent="0.25">
      <c r="A282" t="s">
        <v>15</v>
      </c>
      <c r="B282" t="s">
        <v>281</v>
      </c>
      <c r="C282" t="s">
        <v>310</v>
      </c>
      <c r="D282">
        <v>722245</v>
      </c>
      <c r="E282" t="s">
        <v>13</v>
      </c>
      <c r="F282">
        <v>30.21</v>
      </c>
      <c r="G282">
        <v>-85.683000000000007</v>
      </c>
      <c r="H282">
        <v>-6</v>
      </c>
      <c r="I282">
        <v>6</v>
      </c>
      <c r="J282" t="str">
        <f>HYPERLINK("https://climate.onebuilding.org/WMO_Region_4_North_and_Central_America/USA_United_States_of_America/FL_Florida/USA_FL_Panama.City-Bay.County.Intl.AP.722245_TMY3.zip")</f>
        <v>https://climate.onebuilding.org/WMO_Region_4_North_and_Central_America/USA_United_States_of_America/FL_Florida/USA_FL_Panama.City-Bay.County.Intl.AP.722245_TMY3.zip</v>
      </c>
    </row>
    <row r="283" spans="1:10" x14ac:dyDescent="0.25">
      <c r="A283" t="s">
        <v>15</v>
      </c>
      <c r="B283" t="s">
        <v>281</v>
      </c>
      <c r="C283" t="s">
        <v>311</v>
      </c>
      <c r="D283">
        <v>722225</v>
      </c>
      <c r="E283" t="s">
        <v>13</v>
      </c>
      <c r="F283">
        <v>30.35</v>
      </c>
      <c r="G283">
        <v>-87.316999999999993</v>
      </c>
      <c r="H283">
        <v>-6</v>
      </c>
      <c r="I283">
        <v>10</v>
      </c>
      <c r="J283" t="str">
        <f>HYPERLINK("https://climate.onebuilding.org/WMO_Region_4_North_and_Central_America/USA_United_States_of_America/FL_Florida/USA_FL_NAS.Pensacola-Sherman.Field.722225_TMY3.zip")</f>
        <v>https://climate.onebuilding.org/WMO_Region_4_North_and_Central_America/USA_United_States_of_America/FL_Florida/USA_FL_NAS.Pensacola-Sherman.Field.722225_TMY3.zip</v>
      </c>
    </row>
    <row r="284" spans="1:10" x14ac:dyDescent="0.25">
      <c r="A284" t="s">
        <v>15</v>
      </c>
      <c r="B284" t="s">
        <v>281</v>
      </c>
      <c r="C284" t="s">
        <v>312</v>
      </c>
      <c r="D284">
        <v>722223</v>
      </c>
      <c r="E284" t="s">
        <v>13</v>
      </c>
      <c r="F284">
        <v>30.483000000000001</v>
      </c>
      <c r="G284">
        <v>-87.183000000000007</v>
      </c>
      <c r="H284">
        <v>-6</v>
      </c>
      <c r="I284">
        <v>34</v>
      </c>
      <c r="J284" t="str">
        <f>HYPERLINK("https://climate.onebuilding.org/WMO_Region_4_North_and_Central_America/USA_United_States_of_America/FL_Florida/USA_FL_Pensacola.Intl.AP.722223_TMY3.zip")</f>
        <v>https://climate.onebuilding.org/WMO_Region_4_North_and_Central_America/USA_United_States_of_America/FL_Florida/USA_FL_Pensacola.Intl.AP.722223_TMY3.zip</v>
      </c>
    </row>
    <row r="285" spans="1:10" x14ac:dyDescent="0.25">
      <c r="A285" t="s">
        <v>15</v>
      </c>
      <c r="B285" t="s">
        <v>281</v>
      </c>
      <c r="C285" t="s">
        <v>313</v>
      </c>
      <c r="D285">
        <v>722115</v>
      </c>
      <c r="E285" t="s">
        <v>13</v>
      </c>
      <c r="F285">
        <v>27.382999999999999</v>
      </c>
      <c r="G285">
        <v>-82.55</v>
      </c>
      <c r="H285">
        <v>-5</v>
      </c>
      <c r="I285">
        <v>10</v>
      </c>
      <c r="J285" t="str">
        <f>HYPERLINK("https://climate.onebuilding.org/WMO_Region_4_North_and_Central_America/USA_United_States_of_America/FL_Florida/USA_FL_Sarasota-Bradenton.Intl.AP.722115_TMY3.zip")</f>
        <v>https://climate.onebuilding.org/WMO_Region_4_North_and_Central_America/USA_United_States_of_America/FL_Florida/USA_FL_Sarasota-Bradenton.Intl.AP.722115_TMY3.zip</v>
      </c>
    </row>
    <row r="286" spans="1:10" x14ac:dyDescent="0.25">
      <c r="A286" t="s">
        <v>15</v>
      </c>
      <c r="B286" t="s">
        <v>281</v>
      </c>
      <c r="C286" t="s">
        <v>314</v>
      </c>
      <c r="D286">
        <v>722108</v>
      </c>
      <c r="E286" t="s">
        <v>13</v>
      </c>
      <c r="F286">
        <v>26.533000000000001</v>
      </c>
      <c r="G286">
        <v>-81.75</v>
      </c>
      <c r="H286">
        <v>-5</v>
      </c>
      <c r="I286">
        <v>9</v>
      </c>
      <c r="J286" t="str">
        <f>HYPERLINK("https://climate.onebuilding.org/WMO_Region_4_North_and_Central_America/USA_United_States_of_America/FL_Florida/USA_FL_Fort.Myers-Southwest.Florida.Intl.AP.722108_TMY3.zip")</f>
        <v>https://climate.onebuilding.org/WMO_Region_4_North_and_Central_America/USA_United_States_of_America/FL_Florida/USA_FL_Fort.Myers-Southwest.Florida.Intl.AP.722108_TMY3.zip</v>
      </c>
    </row>
    <row r="287" spans="1:10" x14ac:dyDescent="0.25">
      <c r="A287" t="s">
        <v>15</v>
      </c>
      <c r="B287" t="s">
        <v>281</v>
      </c>
      <c r="C287" t="s">
        <v>315</v>
      </c>
      <c r="D287">
        <v>722104</v>
      </c>
      <c r="E287" t="s">
        <v>13</v>
      </c>
      <c r="F287">
        <v>27.766999999999999</v>
      </c>
      <c r="G287">
        <v>-82.632999999999996</v>
      </c>
      <c r="H287">
        <v>-5</v>
      </c>
      <c r="I287">
        <v>2</v>
      </c>
      <c r="J287" t="str">
        <f>HYPERLINK("https://climate.onebuilding.org/WMO_Region_4_North_and_Central_America/USA_United_States_of_America/FL_Florida/USA_FL_St.Petersburg-Whitted.AP.722104_TMY3.zip")</f>
        <v>https://climate.onebuilding.org/WMO_Region_4_North_and_Central_America/USA_United_States_of_America/FL_Florida/USA_FL_St.Petersburg-Whitted.AP.722104_TMY3.zip</v>
      </c>
    </row>
    <row r="288" spans="1:10" x14ac:dyDescent="0.25">
      <c r="A288" t="s">
        <v>15</v>
      </c>
      <c r="B288" t="s">
        <v>281</v>
      </c>
      <c r="C288" t="s">
        <v>316</v>
      </c>
      <c r="D288">
        <v>722116</v>
      </c>
      <c r="E288" t="s">
        <v>13</v>
      </c>
      <c r="F288">
        <v>27.9</v>
      </c>
      <c r="G288">
        <v>-82.683000000000007</v>
      </c>
      <c r="H288">
        <v>-5</v>
      </c>
      <c r="I288">
        <v>3</v>
      </c>
      <c r="J288" t="str">
        <f>HYPERLINK("https://climate.onebuilding.org/WMO_Region_4_North_and_Central_America/USA_United_States_of_America/FL_Florida/USA_FL_St.Pete-Clearwater.Intl.AP.722116_TMY3.zip")</f>
        <v>https://climate.onebuilding.org/WMO_Region_4_North_and_Central_America/USA_United_States_of_America/FL_Florida/USA_FL_St.Pete-Clearwater.Intl.AP.722116_TMY3.zip</v>
      </c>
    </row>
    <row r="289" spans="1:10" x14ac:dyDescent="0.25">
      <c r="A289" t="s">
        <v>15</v>
      </c>
      <c r="B289" t="s">
        <v>281</v>
      </c>
      <c r="C289" t="s">
        <v>317</v>
      </c>
      <c r="D289">
        <v>722140</v>
      </c>
      <c r="E289" t="s">
        <v>13</v>
      </c>
      <c r="F289">
        <v>30.38</v>
      </c>
      <c r="G289">
        <v>-84.37</v>
      </c>
      <c r="H289">
        <v>-5</v>
      </c>
      <c r="I289">
        <v>21</v>
      </c>
      <c r="J289" t="str">
        <f>HYPERLINK("https://climate.onebuilding.org/WMO_Region_4_North_and_Central_America/USA_United_States_of_America/FL_Florida/USA_FL_Tallahassee.Intl.AP.722140_TMY3.zip")</f>
        <v>https://climate.onebuilding.org/WMO_Region_4_North_and_Central_America/USA_United_States_of_America/FL_Florida/USA_FL_Tallahassee.Intl.AP.722140_TMY3.zip</v>
      </c>
    </row>
    <row r="290" spans="1:10" x14ac:dyDescent="0.25">
      <c r="A290" t="s">
        <v>15</v>
      </c>
      <c r="B290" t="s">
        <v>281</v>
      </c>
      <c r="C290" t="s">
        <v>318</v>
      </c>
      <c r="D290">
        <v>722110</v>
      </c>
      <c r="E290" t="s">
        <v>13</v>
      </c>
      <c r="F290">
        <v>27.966999999999999</v>
      </c>
      <c r="G290">
        <v>-82.533000000000001</v>
      </c>
      <c r="H290">
        <v>-5</v>
      </c>
      <c r="I290">
        <v>6</v>
      </c>
      <c r="J290" t="str">
        <f>HYPERLINK("https://climate.onebuilding.org/WMO_Region_4_North_and_Central_America/USA_United_States_of_America/FL_Florida/USA_FL_Tampa.Intl.AP.722110_TMY3.zip")</f>
        <v>https://climate.onebuilding.org/WMO_Region_4_North_and_Central_America/USA_United_States_of_America/FL_Florida/USA_FL_Tampa.Intl.AP.722110_TMY3.zip</v>
      </c>
    </row>
    <row r="291" spans="1:10" x14ac:dyDescent="0.25">
      <c r="A291" t="s">
        <v>15</v>
      </c>
      <c r="B291" t="s">
        <v>281</v>
      </c>
      <c r="C291" t="s">
        <v>319</v>
      </c>
      <c r="D291">
        <v>747750</v>
      </c>
      <c r="E291" t="s">
        <v>13</v>
      </c>
      <c r="F291">
        <v>30.067</v>
      </c>
      <c r="G291">
        <v>-85.582999999999998</v>
      </c>
      <c r="H291">
        <v>-6</v>
      </c>
      <c r="I291">
        <v>7</v>
      </c>
      <c r="J291" t="str">
        <f>HYPERLINK("https://climate.onebuilding.org/WMO_Region_4_North_and_Central_America/USA_United_States_of_America/FL_Florida/USA_FL_Panama.City-Tyndall.AFB.747750_TMY3.zip")</f>
        <v>https://climate.onebuilding.org/WMO_Region_4_North_and_Central_America/USA_United_States_of_America/FL_Florida/USA_FL_Panama.City-Tyndall.AFB.747750_TMY3.zip</v>
      </c>
    </row>
    <row r="292" spans="1:10" x14ac:dyDescent="0.25">
      <c r="A292" t="s">
        <v>15</v>
      </c>
      <c r="B292" t="s">
        <v>281</v>
      </c>
      <c r="C292" t="s">
        <v>320</v>
      </c>
      <c r="D292">
        <v>722210</v>
      </c>
      <c r="E292" t="s">
        <v>13</v>
      </c>
      <c r="F292">
        <v>30.483000000000001</v>
      </c>
      <c r="G292">
        <v>-86.516999999999996</v>
      </c>
      <c r="H292">
        <v>-6</v>
      </c>
      <c r="I292">
        <v>20</v>
      </c>
      <c r="J292" t="str">
        <f>HYPERLINK("https://climate.onebuilding.org/WMO_Region_4_North_and_Central_America/USA_United_States_of_America/FL_Florida/USA_FL_Destin-Fort.Walton.Beach.AP-Elgin.AFB.722210_TMY3.zip")</f>
        <v>https://climate.onebuilding.org/WMO_Region_4_North_and_Central_America/USA_United_States_of_America/FL_Florida/USA_FL_Destin-Fort.Walton.Beach.AP-Elgin.AFB.722210_TMY3.zip</v>
      </c>
    </row>
    <row r="293" spans="1:10" x14ac:dyDescent="0.25">
      <c r="A293" t="s">
        <v>15</v>
      </c>
      <c r="B293" t="s">
        <v>281</v>
      </c>
      <c r="C293" t="s">
        <v>321</v>
      </c>
      <c r="D293">
        <v>747930</v>
      </c>
      <c r="E293" t="s">
        <v>13</v>
      </c>
      <c r="F293">
        <v>27.65</v>
      </c>
      <c r="G293">
        <v>-80.417000000000002</v>
      </c>
      <c r="H293">
        <v>-5</v>
      </c>
      <c r="I293">
        <v>7</v>
      </c>
      <c r="J293" t="str">
        <f>HYPERLINK("https://climate.onebuilding.org/WMO_Region_4_North_and_Central_America/USA_United_States_of_America/FL_Florida/USA_FL_Vero.Beach.Muni.AP.747930_TMY3.zip")</f>
        <v>https://climate.onebuilding.org/WMO_Region_4_North_and_Central_America/USA_United_States_of_America/FL_Florida/USA_FL_Vero.Beach.Muni.AP.747930_TMY3.zip</v>
      </c>
    </row>
    <row r="294" spans="1:10" x14ac:dyDescent="0.25">
      <c r="A294" t="s">
        <v>15</v>
      </c>
      <c r="B294" t="s">
        <v>281</v>
      </c>
      <c r="C294" t="s">
        <v>322</v>
      </c>
      <c r="D294">
        <v>722030</v>
      </c>
      <c r="E294" t="s">
        <v>13</v>
      </c>
      <c r="F294">
        <v>26.683</v>
      </c>
      <c r="G294">
        <v>-80.099999999999994</v>
      </c>
      <c r="H294">
        <v>-5</v>
      </c>
      <c r="I294">
        <v>6</v>
      </c>
      <c r="J294" t="str">
        <f>HYPERLINK("https://climate.onebuilding.org/WMO_Region_4_North_and_Central_America/USA_United_States_of_America/FL_Florida/USA_FL_Palm.Beach.Intl.AP.722030_TMY3.zip")</f>
        <v>https://climate.onebuilding.org/WMO_Region_4_North_and_Central_America/USA_United_States_of_America/FL_Florida/USA_FL_Palm.Beach.Intl.AP.722030_TMY3.zip</v>
      </c>
    </row>
    <row r="295" spans="1:10" x14ac:dyDescent="0.25">
      <c r="A295" t="s">
        <v>15</v>
      </c>
      <c r="B295" t="s">
        <v>281</v>
      </c>
      <c r="C295" t="s">
        <v>323</v>
      </c>
      <c r="D295">
        <v>722226</v>
      </c>
      <c r="E295" t="s">
        <v>13</v>
      </c>
      <c r="F295">
        <v>30.716999999999999</v>
      </c>
      <c r="G295">
        <v>-87.016999999999996</v>
      </c>
      <c r="H295">
        <v>-6</v>
      </c>
      <c r="I295">
        <v>54</v>
      </c>
      <c r="J295" t="str">
        <f>HYPERLINK("https://climate.onebuilding.org/WMO_Region_4_North_and_Central_America/USA_United_States_of_America/FL_Florida/USA_FL_NAS.Whiting.Field.722226_TMY3.zip")</f>
        <v>https://climate.onebuilding.org/WMO_Region_4_North_and_Central_America/USA_United_States_of_America/FL_Florida/USA_FL_NAS.Whiting.Field.722226_TMY3.zip</v>
      </c>
    </row>
    <row r="296" spans="1:10" x14ac:dyDescent="0.25">
      <c r="A296" t="s">
        <v>15</v>
      </c>
      <c r="B296" t="s">
        <v>324</v>
      </c>
      <c r="C296" t="s">
        <v>325</v>
      </c>
      <c r="D296">
        <v>722160</v>
      </c>
      <c r="E296" t="s">
        <v>13</v>
      </c>
      <c r="F296">
        <v>31.533000000000001</v>
      </c>
      <c r="G296">
        <v>-84.183000000000007</v>
      </c>
      <c r="H296">
        <v>-5</v>
      </c>
      <c r="I296">
        <v>58</v>
      </c>
      <c r="J296" t="str">
        <f>HYPERLINK("https://climate.onebuilding.org/WMO_Region_4_North_and_Central_America/USA_United_States_of_America/GA_Georgia/USA_GA_Albany-Southwest.Georgia.Rgnl.AP.722160_TMY3.zip")</f>
        <v>https://climate.onebuilding.org/WMO_Region_4_North_and_Central_America/USA_United_States_of_America/GA_Georgia/USA_GA_Albany-Southwest.Georgia.Rgnl.AP.722160_TMY3.zip</v>
      </c>
    </row>
    <row r="297" spans="1:10" x14ac:dyDescent="0.25">
      <c r="A297" t="s">
        <v>15</v>
      </c>
      <c r="B297" t="s">
        <v>324</v>
      </c>
      <c r="C297" t="s">
        <v>326</v>
      </c>
      <c r="D297">
        <v>723160</v>
      </c>
      <c r="E297" t="s">
        <v>13</v>
      </c>
      <c r="F297">
        <v>31.533000000000001</v>
      </c>
      <c r="G297">
        <v>-82.5</v>
      </c>
      <c r="H297">
        <v>-5</v>
      </c>
      <c r="I297">
        <v>63</v>
      </c>
      <c r="J297" t="str">
        <f>HYPERLINK("https://climate.onebuilding.org/WMO_Region_4_North_and_Central_America/USA_United_States_of_America/GA_Georgia/USA_GA_Alma-Bacon.County.AP.723160_TMY3.zip")</f>
        <v>https://climate.onebuilding.org/WMO_Region_4_North_and_Central_America/USA_United_States_of_America/GA_Georgia/USA_GA_Alma-Bacon.County.AP.723160_TMY3.zip</v>
      </c>
    </row>
    <row r="298" spans="1:10" x14ac:dyDescent="0.25">
      <c r="A298" t="s">
        <v>15</v>
      </c>
      <c r="B298" t="s">
        <v>324</v>
      </c>
      <c r="C298" t="s">
        <v>327</v>
      </c>
      <c r="D298">
        <v>723110</v>
      </c>
      <c r="E298" t="s">
        <v>13</v>
      </c>
      <c r="F298">
        <v>33.950000000000003</v>
      </c>
      <c r="G298">
        <v>-83.332999999999998</v>
      </c>
      <c r="H298">
        <v>-5</v>
      </c>
      <c r="I298">
        <v>244</v>
      </c>
      <c r="J298" t="str">
        <f>HYPERLINK("https://climate.onebuilding.org/WMO_Region_4_North_and_Central_America/USA_United_States_of_America/GA_Georgia/USA_GA_Athens-Epps.AP.723110_TMY3.zip")</f>
        <v>https://climate.onebuilding.org/WMO_Region_4_North_and_Central_America/USA_United_States_of_America/GA_Georgia/USA_GA_Athens-Epps.AP.723110_TMY3.zip</v>
      </c>
    </row>
    <row r="299" spans="1:10" x14ac:dyDescent="0.25">
      <c r="A299" t="s">
        <v>15</v>
      </c>
      <c r="B299" t="s">
        <v>324</v>
      </c>
      <c r="C299" t="s">
        <v>328</v>
      </c>
      <c r="D299">
        <v>722190</v>
      </c>
      <c r="E299" t="s">
        <v>13</v>
      </c>
      <c r="F299">
        <v>33.633000000000003</v>
      </c>
      <c r="G299">
        <v>-84.433000000000007</v>
      </c>
      <c r="H299">
        <v>-5</v>
      </c>
      <c r="I299">
        <v>308</v>
      </c>
      <c r="J299" t="str">
        <f>HYPERLINK("https://climate.onebuilding.org/WMO_Region_4_North_and_Central_America/USA_United_States_of_America/GA_Georgia/USA_GA_Atlanta-Hartsfield-Jackson.Intl.AP.722190_TMY3.zip")</f>
        <v>https://climate.onebuilding.org/WMO_Region_4_North_and_Central_America/USA_United_States_of_America/GA_Georgia/USA_GA_Atlanta-Hartsfield-Jackson.Intl.AP.722190_TMY3.zip</v>
      </c>
    </row>
    <row r="300" spans="1:10" x14ac:dyDescent="0.25">
      <c r="A300" t="s">
        <v>15</v>
      </c>
      <c r="B300" t="s">
        <v>324</v>
      </c>
      <c r="C300" t="s">
        <v>329</v>
      </c>
      <c r="D300">
        <v>722180</v>
      </c>
      <c r="E300" t="s">
        <v>13</v>
      </c>
      <c r="F300">
        <v>33.366999999999997</v>
      </c>
      <c r="G300">
        <v>-81.966999999999999</v>
      </c>
      <c r="H300">
        <v>-5</v>
      </c>
      <c r="I300">
        <v>40</v>
      </c>
      <c r="J300" t="str">
        <f>HYPERLINK("https://climate.onebuilding.org/WMO_Region_4_North_and_Central_America/USA_United_States_of_America/GA_Georgia/USA_GA_Augusta.Rgnl.AP-Bush.Field.722180_TMY3.zip")</f>
        <v>https://climate.onebuilding.org/WMO_Region_4_North_and_Central_America/USA_United_States_of_America/GA_Georgia/USA_GA_Augusta.Rgnl.AP-Bush.Field.722180_TMY3.zip</v>
      </c>
    </row>
    <row r="301" spans="1:10" x14ac:dyDescent="0.25">
      <c r="A301" t="s">
        <v>15</v>
      </c>
      <c r="B301" t="s">
        <v>324</v>
      </c>
      <c r="C301" t="s">
        <v>330</v>
      </c>
      <c r="D301">
        <v>722136</v>
      </c>
      <c r="E301" t="s">
        <v>13</v>
      </c>
      <c r="F301">
        <v>31.25</v>
      </c>
      <c r="G301">
        <v>-81.466999999999999</v>
      </c>
      <c r="H301">
        <v>-5</v>
      </c>
      <c r="I301">
        <v>8</v>
      </c>
      <c r="J301" t="str">
        <f>HYPERLINK("https://climate.onebuilding.org/WMO_Region_4_North_and_Central_America/USA_United_States_of_America/GA_Georgia/USA_GA_Brunswick-Golden.Isles.AP.722136_TMY3.zip")</f>
        <v>https://climate.onebuilding.org/WMO_Region_4_North_and_Central_America/USA_United_States_of_America/GA_Georgia/USA_GA_Brunswick-Golden.Isles.AP.722136_TMY3.zip</v>
      </c>
    </row>
    <row r="302" spans="1:10" x14ac:dyDescent="0.25">
      <c r="A302" t="s">
        <v>15</v>
      </c>
      <c r="B302" t="s">
        <v>324</v>
      </c>
      <c r="C302" t="s">
        <v>331</v>
      </c>
      <c r="D302">
        <v>722137</v>
      </c>
      <c r="E302" t="s">
        <v>13</v>
      </c>
      <c r="F302">
        <v>31.15</v>
      </c>
      <c r="G302">
        <v>-81.382999999999996</v>
      </c>
      <c r="H302">
        <v>-5</v>
      </c>
      <c r="I302">
        <v>4</v>
      </c>
      <c r="J302" t="str">
        <f>HYPERLINK("https://climate.onebuilding.org/WMO_Region_4_North_and_Central_America/USA_United_States_of_America/GA_Georgia/USA_GA_Brunswick-McKinnon.St.Simons.Island.AP.722137_TMY3.zip")</f>
        <v>https://climate.onebuilding.org/WMO_Region_4_North_and_Central_America/USA_United_States_of_America/GA_Georgia/USA_GA_Brunswick-McKinnon.St.Simons.Island.AP.722137_TMY3.zip</v>
      </c>
    </row>
    <row r="303" spans="1:10" x14ac:dyDescent="0.25">
      <c r="A303" t="s">
        <v>15</v>
      </c>
      <c r="B303" t="s">
        <v>324</v>
      </c>
      <c r="C303" t="s">
        <v>332</v>
      </c>
      <c r="D303">
        <v>722255</v>
      </c>
      <c r="E303" t="s">
        <v>13</v>
      </c>
      <c r="F303">
        <v>32.517000000000003</v>
      </c>
      <c r="G303">
        <v>-84.95</v>
      </c>
      <c r="H303">
        <v>-5</v>
      </c>
      <c r="I303">
        <v>120</v>
      </c>
      <c r="J303" t="str">
        <f>HYPERLINK("https://climate.onebuilding.org/WMO_Region_4_North_and_Central_America/USA_United_States_of_America/GA_Georgia/USA_GA_Columbus.Metro.AP.722255_TMY3.zip")</f>
        <v>https://climate.onebuilding.org/WMO_Region_4_North_and_Central_America/USA_United_States_of_America/GA_Georgia/USA_GA_Columbus.Metro.AP.722255_TMY3.zip</v>
      </c>
    </row>
    <row r="304" spans="1:10" x14ac:dyDescent="0.25">
      <c r="A304" t="s">
        <v>15</v>
      </c>
      <c r="B304" t="s">
        <v>324</v>
      </c>
      <c r="C304" t="s">
        <v>333</v>
      </c>
      <c r="D304">
        <v>722196</v>
      </c>
      <c r="E304" t="s">
        <v>13</v>
      </c>
      <c r="F304">
        <v>33.866999999999997</v>
      </c>
      <c r="G304">
        <v>-84.3</v>
      </c>
      <c r="H304">
        <v>-5</v>
      </c>
      <c r="I304">
        <v>313</v>
      </c>
      <c r="J304" t="str">
        <f>HYPERLINK("https://climate.onebuilding.org/WMO_Region_4_North_and_Central_America/USA_United_States_of_America/GA_Georgia/USA_GA_DeKalb-Peachtree.AP.722196_TMY3.zip")</f>
        <v>https://climate.onebuilding.org/WMO_Region_4_North_and_Central_America/USA_United_States_of_America/GA_Georgia/USA_GA_DeKalb-Peachtree.AP.722196_TMY3.zip</v>
      </c>
    </row>
    <row r="305" spans="1:10" x14ac:dyDescent="0.25">
      <c r="A305" t="s">
        <v>15</v>
      </c>
      <c r="B305" t="s">
        <v>324</v>
      </c>
      <c r="C305" t="s">
        <v>334</v>
      </c>
      <c r="D305">
        <v>722250</v>
      </c>
      <c r="E305" t="s">
        <v>13</v>
      </c>
      <c r="F305">
        <v>32.337000000000003</v>
      </c>
      <c r="G305">
        <v>-84.992000000000004</v>
      </c>
      <c r="H305">
        <v>-5</v>
      </c>
      <c r="I305">
        <v>88</v>
      </c>
      <c r="J305" t="str">
        <f>HYPERLINK("https://climate.onebuilding.org/WMO_Region_4_North_and_Central_America/USA_United_States_of_America/GA_Georgia/USA_GA_Fort.Benning-Lawson.AAF.722250_TMY3.zip")</f>
        <v>https://climate.onebuilding.org/WMO_Region_4_North_and_Central_America/USA_United_States_of_America/GA_Georgia/USA_GA_Fort.Benning-Lawson.AAF.722250_TMY3.zip</v>
      </c>
    </row>
    <row r="306" spans="1:10" x14ac:dyDescent="0.25">
      <c r="A306" t="s">
        <v>15</v>
      </c>
      <c r="B306" t="s">
        <v>324</v>
      </c>
      <c r="C306" t="s">
        <v>335</v>
      </c>
      <c r="D306">
        <v>722195</v>
      </c>
      <c r="E306" t="s">
        <v>13</v>
      </c>
      <c r="F306">
        <v>33.767000000000003</v>
      </c>
      <c r="G306">
        <v>-84.516999999999996</v>
      </c>
      <c r="H306">
        <v>-5</v>
      </c>
      <c r="I306">
        <v>263</v>
      </c>
      <c r="J306" t="str">
        <f>HYPERLINK("https://climate.onebuilding.org/WMO_Region_4_North_and_Central_America/USA_United_States_of_America/GA_Georgia/USA_GA_Fulton.County.AP-Brown.Field.722195_TMY3.zip")</f>
        <v>https://climate.onebuilding.org/WMO_Region_4_North_and_Central_America/USA_United_States_of_America/GA_Georgia/USA_GA_Fulton.County.AP-Brown.Field.722195_TMY3.zip</v>
      </c>
    </row>
    <row r="307" spans="1:10" x14ac:dyDescent="0.25">
      <c r="A307" t="s">
        <v>15</v>
      </c>
      <c r="B307" t="s">
        <v>324</v>
      </c>
      <c r="C307" t="s">
        <v>336</v>
      </c>
      <c r="D307">
        <v>722170</v>
      </c>
      <c r="E307" t="s">
        <v>13</v>
      </c>
      <c r="F307">
        <v>32.683</v>
      </c>
      <c r="G307">
        <v>-83.65</v>
      </c>
      <c r="H307">
        <v>-5</v>
      </c>
      <c r="I307">
        <v>108</v>
      </c>
      <c r="J307" t="str">
        <f>HYPERLINK("https://climate.onebuilding.org/WMO_Region_4_North_and_Central_America/USA_United_States_of_America/GA_Georgia/USA_GA_Macon-Middle.Georgia.Rgnl.AP.722170_TMY3.zip")</f>
        <v>https://climate.onebuilding.org/WMO_Region_4_North_and_Central_America/USA_United_States_of_America/GA_Georgia/USA_GA_Macon-Middle.Georgia.Rgnl.AP.722170_TMY3.zip</v>
      </c>
    </row>
    <row r="308" spans="1:10" x14ac:dyDescent="0.25">
      <c r="A308" t="s">
        <v>15</v>
      </c>
      <c r="B308" t="s">
        <v>324</v>
      </c>
      <c r="C308" t="s">
        <v>337</v>
      </c>
      <c r="D308">
        <v>722270</v>
      </c>
      <c r="E308" t="s">
        <v>13</v>
      </c>
      <c r="F308">
        <v>33.917000000000002</v>
      </c>
      <c r="G308">
        <v>-84.516999999999996</v>
      </c>
      <c r="H308">
        <v>-5</v>
      </c>
      <c r="I308">
        <v>330</v>
      </c>
      <c r="J308" t="str">
        <f>HYPERLINK("https://climate.onebuilding.org/WMO_Region_4_North_and_Central_America/USA_United_States_of_America/GA_Georgia/USA_GA_Marietta-Dobbins.ARB.722270_TMY3.zip")</f>
        <v>https://climate.onebuilding.org/WMO_Region_4_North_and_Central_America/USA_United_States_of_America/GA_Georgia/USA_GA_Marietta-Dobbins.ARB.722270_TMY3.zip</v>
      </c>
    </row>
    <row r="309" spans="1:10" x14ac:dyDescent="0.25">
      <c r="A309" t="s">
        <v>15</v>
      </c>
      <c r="B309" t="s">
        <v>324</v>
      </c>
      <c r="C309" t="s">
        <v>338</v>
      </c>
      <c r="D309">
        <v>723200</v>
      </c>
      <c r="E309" t="s">
        <v>13</v>
      </c>
      <c r="F309">
        <v>34.35</v>
      </c>
      <c r="G309">
        <v>-85.167000000000002</v>
      </c>
      <c r="H309">
        <v>-5</v>
      </c>
      <c r="I309">
        <v>195</v>
      </c>
      <c r="J309" t="str">
        <f>HYPERLINK("https://climate.onebuilding.org/WMO_Region_4_North_and_Central_America/USA_United_States_of_America/GA_Georgia/USA_GA_Rome-Russell.AP.723200_TMY3.zip")</f>
        <v>https://climate.onebuilding.org/WMO_Region_4_North_and_Central_America/USA_United_States_of_America/GA_Georgia/USA_GA_Rome-Russell.AP.723200_TMY3.zip</v>
      </c>
    </row>
    <row r="310" spans="1:10" x14ac:dyDescent="0.25">
      <c r="A310" t="s">
        <v>15</v>
      </c>
      <c r="B310" t="s">
        <v>324</v>
      </c>
      <c r="C310" t="s">
        <v>339</v>
      </c>
      <c r="D310">
        <v>747804</v>
      </c>
      <c r="E310" t="s">
        <v>13</v>
      </c>
      <c r="F310">
        <v>32</v>
      </c>
      <c r="G310">
        <v>-81.150000000000006</v>
      </c>
      <c r="H310">
        <v>-5</v>
      </c>
      <c r="I310">
        <v>13</v>
      </c>
      <c r="J310" t="str">
        <f>HYPERLINK("https://climate.onebuilding.org/WMO_Region_4_North_and_Central_America/USA_United_States_of_America/GA_Georgia/USA_GA_Savannah-Hunter.AAF.747804_TMY3.zip")</f>
        <v>https://climate.onebuilding.org/WMO_Region_4_North_and_Central_America/USA_United_States_of_America/GA_Georgia/USA_GA_Savannah-Hunter.AAF.747804_TMY3.zip</v>
      </c>
    </row>
    <row r="311" spans="1:10" x14ac:dyDescent="0.25">
      <c r="A311" t="s">
        <v>15</v>
      </c>
      <c r="B311" t="s">
        <v>324</v>
      </c>
      <c r="C311" t="s">
        <v>340</v>
      </c>
      <c r="D311">
        <v>722070</v>
      </c>
      <c r="E311" t="s">
        <v>13</v>
      </c>
      <c r="F311">
        <v>32.116999999999997</v>
      </c>
      <c r="G311">
        <v>-81.2</v>
      </c>
      <c r="H311">
        <v>-5</v>
      </c>
      <c r="I311">
        <v>14</v>
      </c>
      <c r="J311" t="str">
        <f>HYPERLINK("https://climate.onebuilding.org/WMO_Region_4_North_and_Central_America/USA_United_States_of_America/GA_Georgia/USA_GA_Savannah-Hilton.Head.Intl.AP.722070_TMY3.zip")</f>
        <v>https://climate.onebuilding.org/WMO_Region_4_North_and_Central_America/USA_United_States_of_America/GA_Georgia/USA_GA_Savannah-Hilton.Head.Intl.AP.722070_TMY3.zip</v>
      </c>
    </row>
    <row r="312" spans="1:10" x14ac:dyDescent="0.25">
      <c r="A312" t="s">
        <v>15</v>
      </c>
      <c r="B312" t="s">
        <v>324</v>
      </c>
      <c r="C312" t="s">
        <v>341</v>
      </c>
      <c r="D312">
        <v>747810</v>
      </c>
      <c r="E312" t="s">
        <v>13</v>
      </c>
      <c r="F312">
        <v>30.966999999999999</v>
      </c>
      <c r="G312">
        <v>-83.2</v>
      </c>
      <c r="H312">
        <v>-5</v>
      </c>
      <c r="I312">
        <v>71</v>
      </c>
      <c r="J312" t="str">
        <f>HYPERLINK("https://climate.onebuilding.org/WMO_Region_4_North_and_Central_America/USA_United_States_of_America/GA_Georgia/USA_GA_Valdosta-Moody.AFB.747810_TMY3.zip")</f>
        <v>https://climate.onebuilding.org/WMO_Region_4_North_and_Central_America/USA_United_States_of_America/GA_Georgia/USA_GA_Valdosta-Moody.AFB.747810_TMY3.zip</v>
      </c>
    </row>
    <row r="313" spans="1:10" x14ac:dyDescent="0.25">
      <c r="A313" t="s">
        <v>15</v>
      </c>
      <c r="B313" t="s">
        <v>324</v>
      </c>
      <c r="C313" t="s">
        <v>342</v>
      </c>
      <c r="D313">
        <v>722166</v>
      </c>
      <c r="E313" t="s">
        <v>13</v>
      </c>
      <c r="F313">
        <v>30.783000000000001</v>
      </c>
      <c r="G313">
        <v>-83.283000000000001</v>
      </c>
      <c r="H313">
        <v>-5</v>
      </c>
      <c r="I313">
        <v>61</v>
      </c>
      <c r="J313" t="str">
        <f>HYPERLINK("https://climate.onebuilding.org/WMO_Region_4_North_and_Central_America/USA_United_States_of_America/GA_Georgia/USA_GA_Valdosta.Rgnl.AP.722166_TMY3.zip")</f>
        <v>https://climate.onebuilding.org/WMO_Region_4_North_and_Central_America/USA_United_States_of_America/GA_Georgia/USA_GA_Valdosta.Rgnl.AP.722166_TMY3.zip</v>
      </c>
    </row>
    <row r="314" spans="1:10" x14ac:dyDescent="0.25">
      <c r="A314" t="s">
        <v>15</v>
      </c>
      <c r="B314" t="s">
        <v>324</v>
      </c>
      <c r="C314" t="s">
        <v>343</v>
      </c>
      <c r="D314">
        <v>722175</v>
      </c>
      <c r="E314" t="s">
        <v>13</v>
      </c>
      <c r="F314">
        <v>32.633000000000003</v>
      </c>
      <c r="G314">
        <v>-83.6</v>
      </c>
      <c r="H314">
        <v>-5</v>
      </c>
      <c r="I314">
        <v>92</v>
      </c>
      <c r="J314" t="str">
        <f>HYPERLINK("https://climate.onebuilding.org/WMO_Region_4_North_and_Central_America/USA_United_States_of_America/GA_Georgia/USA_GA_Warner.Robins-Robins.AFB.722175_TMY3.zip")</f>
        <v>https://climate.onebuilding.org/WMO_Region_4_North_and_Central_America/USA_United_States_of_America/GA_Georgia/USA_GA_Warner.Robins-Robins.AFB.722175_TMY3.zip</v>
      </c>
    </row>
    <row r="315" spans="1:10" x14ac:dyDescent="0.25">
      <c r="A315" t="s">
        <v>15</v>
      </c>
      <c r="B315" t="s">
        <v>344</v>
      </c>
      <c r="C315" t="s">
        <v>345</v>
      </c>
      <c r="D315">
        <v>725457</v>
      </c>
      <c r="E315" t="s">
        <v>13</v>
      </c>
      <c r="F315">
        <v>43.082999999999998</v>
      </c>
      <c r="G315">
        <v>-94.266999999999996</v>
      </c>
      <c r="H315">
        <v>-6</v>
      </c>
      <c r="I315">
        <v>372</v>
      </c>
      <c r="J315" t="str">
        <f>HYPERLINK("https://climate.onebuilding.org/WMO_Region_4_North_and_Central_America/USA_United_States_of_America/IA_Iowa/USA_IA_Algona.Muni.AP.725457_TMY3.zip")</f>
        <v>https://climate.onebuilding.org/WMO_Region_4_North_and_Central_America/USA_United_States_of_America/IA_Iowa/USA_IA_Algona.Muni.AP.725457_TMY3.zip</v>
      </c>
    </row>
    <row r="316" spans="1:10" x14ac:dyDescent="0.25">
      <c r="A316" t="s">
        <v>15</v>
      </c>
      <c r="B316" t="s">
        <v>344</v>
      </c>
      <c r="C316" t="s">
        <v>346</v>
      </c>
      <c r="D316">
        <v>725453</v>
      </c>
      <c r="E316" t="s">
        <v>13</v>
      </c>
      <c r="F316">
        <v>41.4</v>
      </c>
      <c r="G316">
        <v>-95.05</v>
      </c>
      <c r="H316">
        <v>-6</v>
      </c>
      <c r="I316">
        <v>360</v>
      </c>
      <c r="J316" t="str">
        <f>HYPERLINK("https://climate.onebuilding.org/WMO_Region_4_North_and_Central_America/USA_United_States_of_America/IA_Iowa/USA_IA_Atlantic.Muni.AP.725453_TMY3.zip")</f>
        <v>https://climate.onebuilding.org/WMO_Region_4_North_and_Central_America/USA_United_States_of_America/IA_Iowa/USA_IA_Atlantic.Muni.AP.725453_TMY3.zip</v>
      </c>
    </row>
    <row r="317" spans="1:10" x14ac:dyDescent="0.25">
      <c r="A317" t="s">
        <v>15</v>
      </c>
      <c r="B317" t="s">
        <v>344</v>
      </c>
      <c r="C317" t="s">
        <v>347</v>
      </c>
      <c r="D317">
        <v>725486</v>
      </c>
      <c r="E317" t="s">
        <v>13</v>
      </c>
      <c r="F317">
        <v>42.05</v>
      </c>
      <c r="G317">
        <v>-93.85</v>
      </c>
      <c r="H317">
        <v>-6</v>
      </c>
      <c r="I317">
        <v>354</v>
      </c>
      <c r="J317" t="str">
        <f>HYPERLINK("https://climate.onebuilding.org/WMO_Region_4_North_and_Central_America/USA_United_States_of_America/IA_Iowa/USA_IA_Boone.Muni.AP.725486_TMY3.zip")</f>
        <v>https://climate.onebuilding.org/WMO_Region_4_North_and_Central_America/USA_United_States_of_America/IA_Iowa/USA_IA_Boone.Muni.AP.725486_TMY3.zip</v>
      </c>
    </row>
    <row r="318" spans="1:10" x14ac:dyDescent="0.25">
      <c r="A318" t="s">
        <v>15</v>
      </c>
      <c r="B318" t="s">
        <v>344</v>
      </c>
      <c r="C318" t="s">
        <v>348</v>
      </c>
      <c r="D318">
        <v>725420</v>
      </c>
      <c r="E318" t="s">
        <v>13</v>
      </c>
      <c r="F318">
        <v>40.783000000000001</v>
      </c>
      <c r="G318">
        <v>-91.117000000000004</v>
      </c>
      <c r="H318">
        <v>-6</v>
      </c>
      <c r="I318">
        <v>211</v>
      </c>
      <c r="J318" t="str">
        <f>HYPERLINK("https://climate.onebuilding.org/WMO_Region_4_North_and_Central_America/USA_United_States_of_America/IA_Iowa/USA_IA_Burlington-Southeast.Iowa.Rgnl.AP.725420_TMY3.zip")</f>
        <v>https://climate.onebuilding.org/WMO_Region_4_North_and_Central_America/USA_United_States_of_America/IA_Iowa/USA_IA_Burlington-Southeast.Iowa.Rgnl.AP.725420_TMY3.zip</v>
      </c>
    </row>
    <row r="319" spans="1:10" x14ac:dyDescent="0.25">
      <c r="A319" t="s">
        <v>15</v>
      </c>
      <c r="B319" t="s">
        <v>344</v>
      </c>
      <c r="C319" t="s">
        <v>349</v>
      </c>
      <c r="D319">
        <v>725468</v>
      </c>
      <c r="E319" t="s">
        <v>13</v>
      </c>
      <c r="F319">
        <v>42.05</v>
      </c>
      <c r="G319">
        <v>-94.783000000000001</v>
      </c>
      <c r="H319">
        <v>-6</v>
      </c>
      <c r="I319">
        <v>375</v>
      </c>
      <c r="J319" t="str">
        <f>HYPERLINK("https://climate.onebuilding.org/WMO_Region_4_North_and_Central_America/USA_United_States_of_America/IA_Iowa/USA_IA_Carroll-Neu.AP.725468_TMY3.zip")</f>
        <v>https://climate.onebuilding.org/WMO_Region_4_North_and_Central_America/USA_United_States_of_America/IA_Iowa/USA_IA_Carroll-Neu.AP.725468_TMY3.zip</v>
      </c>
    </row>
    <row r="320" spans="1:10" x14ac:dyDescent="0.25">
      <c r="A320" t="s">
        <v>15</v>
      </c>
      <c r="B320" t="s">
        <v>344</v>
      </c>
      <c r="C320" t="s">
        <v>350</v>
      </c>
      <c r="D320">
        <v>725450</v>
      </c>
      <c r="E320" t="s">
        <v>13</v>
      </c>
      <c r="F320">
        <v>41.883000000000003</v>
      </c>
      <c r="G320">
        <v>-91.716999999999999</v>
      </c>
      <c r="H320">
        <v>-6</v>
      </c>
      <c r="I320">
        <v>256</v>
      </c>
      <c r="J320" t="str">
        <f>HYPERLINK("https://climate.onebuilding.org/WMO_Region_4_North_and_Central_America/USA_United_States_of_America/IA_Iowa/USA_IA_Cedar.Rapids-Eastern.Iowa.AP.725450_TMY3.zip")</f>
        <v>https://climate.onebuilding.org/WMO_Region_4_North_and_Central_America/USA_United_States_of_America/IA_Iowa/USA_IA_Cedar.Rapids-Eastern.Iowa.AP.725450_TMY3.zip</v>
      </c>
    </row>
    <row r="321" spans="1:10" x14ac:dyDescent="0.25">
      <c r="A321" t="s">
        <v>15</v>
      </c>
      <c r="B321" t="s">
        <v>344</v>
      </c>
      <c r="C321" t="s">
        <v>351</v>
      </c>
      <c r="D321">
        <v>725469</v>
      </c>
      <c r="E321" t="s">
        <v>13</v>
      </c>
      <c r="F321">
        <v>41.033000000000001</v>
      </c>
      <c r="G321">
        <v>-93.367000000000004</v>
      </c>
      <c r="H321">
        <v>-6</v>
      </c>
      <c r="I321">
        <v>320</v>
      </c>
      <c r="J321" t="str">
        <f>HYPERLINK("https://climate.onebuilding.org/WMO_Region_4_North_and_Central_America/USA_United_States_of_America/IA_Iowa/USA_IA_Chariton.Muni.AP.725469_TMY3.zip")</f>
        <v>https://climate.onebuilding.org/WMO_Region_4_North_and_Central_America/USA_United_States_of_America/IA_Iowa/USA_IA_Chariton.Muni.AP.725469_TMY3.zip</v>
      </c>
    </row>
    <row r="322" spans="1:10" x14ac:dyDescent="0.25">
      <c r="A322" t="s">
        <v>15</v>
      </c>
      <c r="B322" t="s">
        <v>344</v>
      </c>
      <c r="C322" t="s">
        <v>352</v>
      </c>
      <c r="D322">
        <v>725463</v>
      </c>
      <c r="E322" t="s">
        <v>13</v>
      </c>
      <c r="F322">
        <v>43.067</v>
      </c>
      <c r="G322">
        <v>-92.617000000000004</v>
      </c>
      <c r="H322">
        <v>-6</v>
      </c>
      <c r="I322">
        <v>343</v>
      </c>
      <c r="J322" t="str">
        <f>HYPERLINK("https://climate.onebuilding.org/WMO_Region_4_North_and_Central_America/USA_United_States_of_America/IA_Iowa/USA_IA_Charles.City-Northeast.Iowa.Rgnl.AP.725463_TMY3.zip")</f>
        <v>https://climate.onebuilding.org/WMO_Region_4_North_and_Central_America/USA_United_States_of_America/IA_Iowa/USA_IA_Charles.City-Northeast.Iowa.Rgnl.AP.725463_TMY3.zip</v>
      </c>
    </row>
    <row r="323" spans="1:10" x14ac:dyDescent="0.25">
      <c r="A323" t="s">
        <v>15</v>
      </c>
      <c r="B323" t="s">
        <v>344</v>
      </c>
      <c r="C323" t="s">
        <v>353</v>
      </c>
      <c r="D323">
        <v>725479</v>
      </c>
      <c r="E323" t="s">
        <v>13</v>
      </c>
      <c r="F323">
        <v>40.716999999999999</v>
      </c>
      <c r="G323">
        <v>-95.033000000000001</v>
      </c>
      <c r="H323">
        <v>-6</v>
      </c>
      <c r="I323">
        <v>303</v>
      </c>
      <c r="J323" t="str">
        <f>HYPERLINK("https://climate.onebuilding.org/WMO_Region_4_North_and_Central_America/USA_United_States_of_America/IA_Iowa/USA_IA_Clarinda.Muni.AP-Schenck.Field.725479_TMY3.zip")</f>
        <v>https://climate.onebuilding.org/WMO_Region_4_North_and_Central_America/USA_United_States_of_America/IA_Iowa/USA_IA_Clarinda.Muni.AP-Schenck.Field.725479_TMY3.zip</v>
      </c>
    </row>
    <row r="324" spans="1:10" x14ac:dyDescent="0.25">
      <c r="A324" t="s">
        <v>15</v>
      </c>
      <c r="B324" t="s">
        <v>344</v>
      </c>
      <c r="C324" t="s">
        <v>354</v>
      </c>
      <c r="D324">
        <v>725473</v>
      </c>
      <c r="E324" t="s">
        <v>13</v>
      </c>
      <c r="F324">
        <v>41.832999999999998</v>
      </c>
      <c r="G324">
        <v>-90.332999999999998</v>
      </c>
      <c r="H324">
        <v>-6</v>
      </c>
      <c r="I324">
        <v>216</v>
      </c>
      <c r="J324" t="str">
        <f>HYPERLINK("https://climate.onebuilding.org/WMO_Region_4_North_and_Central_America/USA_United_States_of_America/IA_Iowa/USA_IA_Clinton.Muni.AP.725473_TMY3.zip")</f>
        <v>https://climate.onebuilding.org/WMO_Region_4_North_and_Central_America/USA_United_States_of_America/IA_Iowa/USA_IA_Clinton.Muni.AP.725473_TMY3.zip</v>
      </c>
    </row>
    <row r="325" spans="1:10" x14ac:dyDescent="0.25">
      <c r="A325" t="s">
        <v>15</v>
      </c>
      <c r="B325" t="s">
        <v>344</v>
      </c>
      <c r="C325" t="s">
        <v>355</v>
      </c>
      <c r="D325">
        <v>725497</v>
      </c>
      <c r="E325" t="s">
        <v>13</v>
      </c>
      <c r="F325">
        <v>41.267000000000003</v>
      </c>
      <c r="G325">
        <v>-95.766999999999996</v>
      </c>
      <c r="H325">
        <v>-6</v>
      </c>
      <c r="I325">
        <v>382</v>
      </c>
      <c r="J325" t="str">
        <f>HYPERLINK("https://climate.onebuilding.org/WMO_Region_4_North_and_Central_America/USA_United_States_of_America/IA_Iowa/USA_IA_Council.Bluffs.Muni.AP.725497_TMY3.zip")</f>
        <v>https://climate.onebuilding.org/WMO_Region_4_North_and_Central_America/USA_United_States_of_America/IA_Iowa/USA_IA_Council.Bluffs.Muni.AP.725497_TMY3.zip</v>
      </c>
    </row>
    <row r="326" spans="1:10" x14ac:dyDescent="0.25">
      <c r="A326" t="s">
        <v>15</v>
      </c>
      <c r="B326" t="s">
        <v>344</v>
      </c>
      <c r="C326" t="s">
        <v>356</v>
      </c>
      <c r="D326">
        <v>725474</v>
      </c>
      <c r="E326" t="s">
        <v>13</v>
      </c>
      <c r="F326">
        <v>41.017000000000003</v>
      </c>
      <c r="G326">
        <v>-94.367000000000004</v>
      </c>
      <c r="H326">
        <v>-6</v>
      </c>
      <c r="I326">
        <v>394</v>
      </c>
      <c r="J326" t="str">
        <f>HYPERLINK("https://climate.onebuilding.org/WMO_Region_4_North_and_Central_America/USA_United_States_of_America/IA_Iowa/USA_IA_Creston.Muni.AP.725474_TMY3.zip")</f>
        <v>https://climate.onebuilding.org/WMO_Region_4_North_and_Central_America/USA_United_States_of_America/IA_Iowa/USA_IA_Creston.Muni.AP.725474_TMY3.zip</v>
      </c>
    </row>
    <row r="327" spans="1:10" x14ac:dyDescent="0.25">
      <c r="A327" t="s">
        <v>15</v>
      </c>
      <c r="B327" t="s">
        <v>344</v>
      </c>
      <c r="C327" t="s">
        <v>357</v>
      </c>
      <c r="D327">
        <v>725476</v>
      </c>
      <c r="E327" t="s">
        <v>13</v>
      </c>
      <c r="F327">
        <v>43.283000000000001</v>
      </c>
      <c r="G327">
        <v>-91.733000000000004</v>
      </c>
      <c r="H327">
        <v>-6</v>
      </c>
      <c r="I327">
        <v>353</v>
      </c>
      <c r="J327" t="str">
        <f>HYPERLINK("https://climate.onebuilding.org/WMO_Region_4_North_and_Central_America/USA_United_States_of_America/IA_Iowa/USA_IA_Decorah.Muni.AP.725476_TMY3.zip")</f>
        <v>https://climate.onebuilding.org/WMO_Region_4_North_and_Central_America/USA_United_States_of_America/IA_Iowa/USA_IA_Decorah.Muni.AP.725476_TMY3.zip</v>
      </c>
    </row>
    <row r="328" spans="1:10" x14ac:dyDescent="0.25">
      <c r="A328" t="s">
        <v>15</v>
      </c>
      <c r="B328" t="s">
        <v>344</v>
      </c>
      <c r="C328" t="s">
        <v>358</v>
      </c>
      <c r="D328">
        <v>725477</v>
      </c>
      <c r="E328" t="s">
        <v>13</v>
      </c>
      <c r="F328">
        <v>41.982999999999997</v>
      </c>
      <c r="G328">
        <v>-95.382999999999996</v>
      </c>
      <c r="H328">
        <v>-6</v>
      </c>
      <c r="I328">
        <v>388</v>
      </c>
      <c r="J328" t="str">
        <f>HYPERLINK("https://climate.onebuilding.org/WMO_Region_4_North_and_Central_America/USA_United_States_of_America/IA_Iowa/USA_IA_Denison.Muni.AP.725477_TMY3.zip")</f>
        <v>https://climate.onebuilding.org/WMO_Region_4_North_and_Central_America/USA_United_States_of_America/IA_Iowa/USA_IA_Denison.Muni.AP.725477_TMY3.zip</v>
      </c>
    </row>
    <row r="329" spans="1:10" x14ac:dyDescent="0.25">
      <c r="A329" t="s">
        <v>15</v>
      </c>
      <c r="B329" t="s">
        <v>344</v>
      </c>
      <c r="C329" t="s">
        <v>359</v>
      </c>
      <c r="D329">
        <v>725460</v>
      </c>
      <c r="E329" t="s">
        <v>13</v>
      </c>
      <c r="F329">
        <v>41.533000000000001</v>
      </c>
      <c r="G329">
        <v>-93.667000000000002</v>
      </c>
      <c r="H329">
        <v>-6</v>
      </c>
      <c r="I329">
        <v>292</v>
      </c>
      <c r="J329" t="str">
        <f>HYPERLINK("https://climate.onebuilding.org/WMO_Region_4_North_and_Central_America/USA_United_States_of_America/IA_Iowa/USA_IA_Des.Moines.Intl.AP.725460_TMY3.zip")</f>
        <v>https://climate.onebuilding.org/WMO_Region_4_North_and_Central_America/USA_United_States_of_America/IA_Iowa/USA_IA_Des.Moines.Intl.AP.725460_TMY3.zip</v>
      </c>
    </row>
    <row r="330" spans="1:10" x14ac:dyDescent="0.25">
      <c r="A330" t="s">
        <v>15</v>
      </c>
      <c r="B330" t="s">
        <v>344</v>
      </c>
      <c r="C330" t="s">
        <v>360</v>
      </c>
      <c r="D330">
        <v>725470</v>
      </c>
      <c r="E330" t="s">
        <v>13</v>
      </c>
      <c r="F330">
        <v>42.4</v>
      </c>
      <c r="G330">
        <v>-90.7</v>
      </c>
      <c r="H330">
        <v>-6</v>
      </c>
      <c r="I330">
        <v>322</v>
      </c>
      <c r="J330" t="str">
        <f>HYPERLINK("https://climate.onebuilding.org/WMO_Region_4_North_and_Central_America/USA_United_States_of_America/IA_Iowa/USA_IA_Dubuque.Rgnl.AP.725470_TMY3.zip")</f>
        <v>https://climate.onebuilding.org/WMO_Region_4_North_and_Central_America/USA_United_States_of_America/IA_Iowa/USA_IA_Dubuque.Rgnl.AP.725470_TMY3.zip</v>
      </c>
    </row>
    <row r="331" spans="1:10" x14ac:dyDescent="0.25">
      <c r="A331" t="s">
        <v>15</v>
      </c>
      <c r="B331" t="s">
        <v>344</v>
      </c>
      <c r="C331" t="s">
        <v>361</v>
      </c>
      <c r="D331">
        <v>726499</v>
      </c>
      <c r="E331" t="s">
        <v>13</v>
      </c>
      <c r="F331">
        <v>43.4</v>
      </c>
      <c r="G331">
        <v>-94.75</v>
      </c>
      <c r="H331">
        <v>-6</v>
      </c>
      <c r="I331">
        <v>401</v>
      </c>
      <c r="J331" t="str">
        <f>HYPERLINK("https://climate.onebuilding.org/WMO_Region_4_North_and_Central_America/USA_United_States_of_America/IA_Iowa/USA_IA_Estherville.Muni.AP.726499_TMY3.zip")</f>
        <v>https://climate.onebuilding.org/WMO_Region_4_North_and_Central_America/USA_United_States_of_America/IA_Iowa/USA_IA_Estherville.Muni.AP.726499_TMY3.zip</v>
      </c>
    </row>
    <row r="332" spans="1:10" x14ac:dyDescent="0.25">
      <c r="A332" t="s">
        <v>15</v>
      </c>
      <c r="B332" t="s">
        <v>344</v>
      </c>
      <c r="C332" t="s">
        <v>362</v>
      </c>
      <c r="D332">
        <v>726498</v>
      </c>
      <c r="E332" t="s">
        <v>13</v>
      </c>
      <c r="F332">
        <v>41.05</v>
      </c>
      <c r="G332">
        <v>-91.983000000000004</v>
      </c>
      <c r="H332">
        <v>-6</v>
      </c>
      <c r="I332">
        <v>244</v>
      </c>
      <c r="J332" t="str">
        <f>HYPERLINK("https://climate.onebuilding.org/WMO_Region_4_North_and_Central_America/USA_United_States_of_America/IA_Iowa/USA_IA_Fairfield.Muni.AP.726498_TMY3.zip")</f>
        <v>https://climate.onebuilding.org/WMO_Region_4_North_and_Central_America/USA_United_States_of_America/IA_Iowa/USA_IA_Fairfield.Muni.AP.726498_TMY3.zip</v>
      </c>
    </row>
    <row r="333" spans="1:10" x14ac:dyDescent="0.25">
      <c r="A333" t="s">
        <v>15</v>
      </c>
      <c r="B333" t="s">
        <v>344</v>
      </c>
      <c r="C333" t="s">
        <v>363</v>
      </c>
      <c r="D333">
        <v>725490</v>
      </c>
      <c r="E333" t="s">
        <v>13</v>
      </c>
      <c r="F333">
        <v>42.55</v>
      </c>
      <c r="G333">
        <v>-94.183000000000007</v>
      </c>
      <c r="H333">
        <v>-6</v>
      </c>
      <c r="I333">
        <v>355</v>
      </c>
      <c r="J333" t="str">
        <f>HYPERLINK("https://climate.onebuilding.org/WMO_Region_4_North_and_Central_America/USA_United_States_of_America/IA_Iowa/USA_IA_Fort.Dodge.Rgnl.AP.725490_TMY3.zip")</f>
        <v>https://climate.onebuilding.org/WMO_Region_4_North_and_Central_America/USA_United_States_of_America/IA_Iowa/USA_IA_Fort.Dodge.Rgnl.AP.725490_TMY3.zip</v>
      </c>
    </row>
    <row r="334" spans="1:10" x14ac:dyDescent="0.25">
      <c r="A334" t="s">
        <v>15</v>
      </c>
      <c r="B334" t="s">
        <v>344</v>
      </c>
      <c r="C334" t="s">
        <v>364</v>
      </c>
      <c r="D334">
        <v>725483</v>
      </c>
      <c r="E334" t="s">
        <v>13</v>
      </c>
      <c r="F334">
        <v>40.667000000000002</v>
      </c>
      <c r="G334">
        <v>-91.332999999999998</v>
      </c>
      <c r="H334">
        <v>-6</v>
      </c>
      <c r="I334">
        <v>221</v>
      </c>
      <c r="J334" t="str">
        <f>HYPERLINK("https://climate.onebuilding.org/WMO_Region_4_North_and_Central_America/USA_United_States_of_America/IA_Iowa/USA_IA_Fort.Madison.Muni.AP.725483_TMY3.zip")</f>
        <v>https://climate.onebuilding.org/WMO_Region_4_North_and_Central_America/USA_United_States_of_America/IA_Iowa/USA_IA_Fort.Madison.Muni.AP.725483_TMY3.zip</v>
      </c>
    </row>
    <row r="335" spans="1:10" x14ac:dyDescent="0.25">
      <c r="A335" t="s">
        <v>15</v>
      </c>
      <c r="B335" t="s">
        <v>344</v>
      </c>
      <c r="C335" t="s">
        <v>365</v>
      </c>
      <c r="D335">
        <v>725456</v>
      </c>
      <c r="E335" t="s">
        <v>13</v>
      </c>
      <c r="F335">
        <v>40.466999999999999</v>
      </c>
      <c r="G335">
        <v>-91.433000000000007</v>
      </c>
      <c r="H335">
        <v>-6</v>
      </c>
      <c r="I335">
        <v>205</v>
      </c>
      <c r="J335" t="str">
        <f>HYPERLINK("https://climate.onebuilding.org/WMO_Region_4_North_and_Central_America/USA_United_States_of_America/IA_Iowa/USA_IA_Keokuk.Muni.AP.725456_TMY3.zip")</f>
        <v>https://climate.onebuilding.org/WMO_Region_4_North_and_Central_America/USA_United_States_of_America/IA_Iowa/USA_IA_Keokuk.Muni.AP.725456_TMY3.zip</v>
      </c>
    </row>
    <row r="336" spans="1:10" x14ac:dyDescent="0.25">
      <c r="A336" t="s">
        <v>15</v>
      </c>
      <c r="B336" t="s">
        <v>344</v>
      </c>
      <c r="C336" t="s">
        <v>366</v>
      </c>
      <c r="D336">
        <v>725493</v>
      </c>
      <c r="E336" t="s">
        <v>13</v>
      </c>
      <c r="F336">
        <v>41.3</v>
      </c>
      <c r="G336">
        <v>-93.117000000000004</v>
      </c>
      <c r="H336">
        <v>-6</v>
      </c>
      <c r="I336">
        <v>283</v>
      </c>
      <c r="J336" t="str">
        <f>HYPERLINK("https://climate.onebuilding.org/WMO_Region_4_North_and_Central_America/USA_United_States_of_America/IA_Iowa/USA_IA_Knoxville.Muni.AP.725493_TMY3.zip")</f>
        <v>https://climate.onebuilding.org/WMO_Region_4_North_and_Central_America/USA_United_States_of_America/IA_Iowa/USA_IA_Knoxville.Muni.AP.725493_TMY3.zip</v>
      </c>
    </row>
    <row r="337" spans="1:10" x14ac:dyDescent="0.25">
      <c r="A337" t="s">
        <v>15</v>
      </c>
      <c r="B337" t="s">
        <v>344</v>
      </c>
      <c r="C337" t="s">
        <v>367</v>
      </c>
      <c r="D337">
        <v>725484</v>
      </c>
      <c r="E337" t="s">
        <v>13</v>
      </c>
      <c r="F337">
        <v>42.783000000000001</v>
      </c>
      <c r="G337">
        <v>-96.2</v>
      </c>
      <c r="H337">
        <v>-6</v>
      </c>
      <c r="I337">
        <v>365</v>
      </c>
      <c r="J337" t="str">
        <f>HYPERLINK("https://climate.onebuilding.org/WMO_Region_4_North_and_Central_America/USA_United_States_of_America/IA_Iowa/USA_IA_Le.Mars.Muni.AP.725484_TMY3.zip")</f>
        <v>https://climate.onebuilding.org/WMO_Region_4_North_and_Central_America/USA_United_States_of_America/IA_Iowa/USA_IA_Le.Mars.Muni.AP.725484_TMY3.zip</v>
      </c>
    </row>
    <row r="338" spans="1:10" x14ac:dyDescent="0.25">
      <c r="A338" t="s">
        <v>15</v>
      </c>
      <c r="B338" t="s">
        <v>344</v>
      </c>
      <c r="C338" t="s">
        <v>368</v>
      </c>
      <c r="D338">
        <v>725485</v>
      </c>
      <c r="E338" t="s">
        <v>13</v>
      </c>
      <c r="F338">
        <v>43.15</v>
      </c>
      <c r="G338">
        <v>-93.332999999999998</v>
      </c>
      <c r="H338">
        <v>-6</v>
      </c>
      <c r="I338">
        <v>364</v>
      </c>
      <c r="J338" t="str">
        <f>HYPERLINK("https://climate.onebuilding.org/WMO_Region_4_North_and_Central_America/USA_United_States_of_America/IA_Iowa/USA_IA_Mason.City.Muni.AP.725485_TMY3.zip")</f>
        <v>https://climate.onebuilding.org/WMO_Region_4_North_and_Central_America/USA_United_States_of_America/IA_Iowa/USA_IA_Mason.City.Muni.AP.725485_TMY3.zip</v>
      </c>
    </row>
    <row r="339" spans="1:10" x14ac:dyDescent="0.25">
      <c r="A339" t="s">
        <v>15</v>
      </c>
      <c r="B339" t="s">
        <v>344</v>
      </c>
      <c r="C339" t="s">
        <v>369</v>
      </c>
      <c r="D339">
        <v>725475</v>
      </c>
      <c r="E339" t="s">
        <v>13</v>
      </c>
      <c r="F339">
        <v>42.232999999999997</v>
      </c>
      <c r="G339">
        <v>-91.167000000000002</v>
      </c>
      <c r="H339">
        <v>-6</v>
      </c>
      <c r="I339">
        <v>259</v>
      </c>
      <c r="J339" t="str">
        <f>HYPERLINK("https://climate.onebuilding.org/WMO_Region_4_North_and_Central_America/USA_United_States_of_America/IA_Iowa/USA_IA_Monticello.Rgnl.AP.725475_TMY3.zip")</f>
        <v>https://climate.onebuilding.org/WMO_Region_4_North_and_Central_America/USA_United_States_of_America/IA_Iowa/USA_IA_Monticello.Rgnl.AP.725475_TMY3.zip</v>
      </c>
    </row>
    <row r="340" spans="1:10" x14ac:dyDescent="0.25">
      <c r="A340" t="s">
        <v>15</v>
      </c>
      <c r="B340" t="s">
        <v>344</v>
      </c>
      <c r="C340" t="s">
        <v>370</v>
      </c>
      <c r="D340">
        <v>725487</v>
      </c>
      <c r="E340" t="s">
        <v>13</v>
      </c>
      <c r="F340">
        <v>41.366999999999997</v>
      </c>
      <c r="G340">
        <v>-91.15</v>
      </c>
      <c r="H340">
        <v>-6</v>
      </c>
      <c r="I340">
        <v>167</v>
      </c>
      <c r="J340" t="str">
        <f>HYPERLINK("https://climate.onebuilding.org/WMO_Region_4_North_and_Central_America/USA_United_States_of_America/IA_Iowa/USA_IA_Muscatine.Muni.AP.725487_TMY3.zip")</f>
        <v>https://climate.onebuilding.org/WMO_Region_4_North_and_Central_America/USA_United_States_of_America/IA_Iowa/USA_IA_Muscatine.Muni.AP.725487_TMY3.zip</v>
      </c>
    </row>
    <row r="341" spans="1:10" x14ac:dyDescent="0.25">
      <c r="A341" t="s">
        <v>15</v>
      </c>
      <c r="B341" t="s">
        <v>344</v>
      </c>
      <c r="C341" t="s">
        <v>371</v>
      </c>
      <c r="D341">
        <v>725464</v>
      </c>
      <c r="E341" t="s">
        <v>13</v>
      </c>
      <c r="F341">
        <v>41.683</v>
      </c>
      <c r="G341">
        <v>-93.016999999999996</v>
      </c>
      <c r="H341">
        <v>-6</v>
      </c>
      <c r="I341">
        <v>290</v>
      </c>
      <c r="J341" t="str">
        <f>HYPERLINK("https://climate.onebuilding.org/WMO_Region_4_North_and_Central_America/USA_United_States_of_America/IA_Iowa/USA_IA_Newton.Muni.AP.725464_TMY3.zip")</f>
        <v>https://climate.onebuilding.org/WMO_Region_4_North_and_Central_America/USA_United_States_of_America/IA_Iowa/USA_IA_Newton.Muni.AP.725464_TMY3.zip</v>
      </c>
    </row>
    <row r="342" spans="1:10" x14ac:dyDescent="0.25">
      <c r="A342" t="s">
        <v>15</v>
      </c>
      <c r="B342" t="s">
        <v>344</v>
      </c>
      <c r="C342" t="s">
        <v>372</v>
      </c>
      <c r="D342">
        <v>725488</v>
      </c>
      <c r="E342" t="s">
        <v>13</v>
      </c>
      <c r="F342">
        <v>42.683</v>
      </c>
      <c r="G342">
        <v>-91.966999999999999</v>
      </c>
      <c r="H342">
        <v>-6</v>
      </c>
      <c r="I342">
        <v>328</v>
      </c>
      <c r="J342" t="str">
        <f>HYPERLINK("https://climate.onebuilding.org/WMO_Region_4_North_and_Central_America/USA_United_States_of_America/IA_Iowa/USA_IA_Oelwein.Muni.AP.725488_TMY3.zip")</f>
        <v>https://climate.onebuilding.org/WMO_Region_4_North_and_Central_America/USA_United_States_of_America/IA_Iowa/USA_IA_Oelwein.Muni.AP.725488_TMY3.zip</v>
      </c>
    </row>
    <row r="343" spans="1:10" x14ac:dyDescent="0.25">
      <c r="A343" t="s">
        <v>15</v>
      </c>
      <c r="B343" t="s">
        <v>344</v>
      </c>
      <c r="C343" t="s">
        <v>373</v>
      </c>
      <c r="D343">
        <v>725489</v>
      </c>
      <c r="E343" t="s">
        <v>13</v>
      </c>
      <c r="F343">
        <v>42.982999999999997</v>
      </c>
      <c r="G343">
        <v>-96.066999999999993</v>
      </c>
      <c r="H343">
        <v>-6</v>
      </c>
      <c r="I343">
        <v>431</v>
      </c>
      <c r="J343" t="str">
        <f>HYPERLINK("https://climate.onebuilding.org/WMO_Region_4_North_and_Central_America/USA_United_States_of_America/IA_Iowa/USA_IA_Orange.City.Muni.AP.725489_TMY3.zip")</f>
        <v>https://climate.onebuilding.org/WMO_Region_4_North_and_Central_America/USA_United_States_of_America/IA_Iowa/USA_IA_Orange.City.Muni.AP.725489_TMY3.zip</v>
      </c>
    </row>
    <row r="344" spans="1:10" x14ac:dyDescent="0.25">
      <c r="A344" t="s">
        <v>15</v>
      </c>
      <c r="B344" t="s">
        <v>344</v>
      </c>
      <c r="C344" t="s">
        <v>374</v>
      </c>
      <c r="D344">
        <v>725465</v>
      </c>
      <c r="E344" t="s">
        <v>13</v>
      </c>
      <c r="F344">
        <v>41.1</v>
      </c>
      <c r="G344">
        <v>-92.45</v>
      </c>
      <c r="H344">
        <v>-6</v>
      </c>
      <c r="I344">
        <v>257</v>
      </c>
      <c r="J344" t="str">
        <f>HYPERLINK("https://climate.onebuilding.org/WMO_Region_4_North_and_Central_America/USA_United_States_of_America/IA_Iowa/USA_IA_Ottumwa.Rgnl.AP.725465_TMY3.zip")</f>
        <v>https://climate.onebuilding.org/WMO_Region_4_North_and_Central_America/USA_United_States_of_America/IA_Iowa/USA_IA_Ottumwa.Rgnl.AP.725465_TMY3.zip</v>
      </c>
    </row>
    <row r="345" spans="1:10" x14ac:dyDescent="0.25">
      <c r="A345" t="s">
        <v>15</v>
      </c>
      <c r="B345" t="s">
        <v>344</v>
      </c>
      <c r="C345" t="s">
        <v>375</v>
      </c>
      <c r="D345">
        <v>725494</v>
      </c>
      <c r="E345" t="s">
        <v>13</v>
      </c>
      <c r="F345">
        <v>41.017000000000003</v>
      </c>
      <c r="G345">
        <v>-95.266999999999996</v>
      </c>
      <c r="H345">
        <v>-6</v>
      </c>
      <c r="I345">
        <v>318</v>
      </c>
      <c r="J345" t="str">
        <f>HYPERLINK("https://climate.onebuilding.org/WMO_Region_4_North_and_Central_America/USA_United_States_of_America/IA_Iowa/USA_IA_Red.Oak.Muni.AP.725494_TMY3.zip")</f>
        <v>https://climate.onebuilding.org/WMO_Region_4_North_and_Central_America/USA_United_States_of_America/IA_Iowa/USA_IA_Red.Oak.Muni.AP.725494_TMY3.zip</v>
      </c>
    </row>
    <row r="346" spans="1:10" x14ac:dyDescent="0.25">
      <c r="A346" t="s">
        <v>15</v>
      </c>
      <c r="B346" t="s">
        <v>344</v>
      </c>
      <c r="C346" t="s">
        <v>376</v>
      </c>
      <c r="D346">
        <v>725495</v>
      </c>
      <c r="E346" t="s">
        <v>13</v>
      </c>
      <c r="F346">
        <v>43.216999999999999</v>
      </c>
      <c r="G346">
        <v>-95.832999999999998</v>
      </c>
      <c r="H346">
        <v>-6</v>
      </c>
      <c r="I346">
        <v>432</v>
      </c>
      <c r="J346" t="str">
        <f>HYPERLINK("https://climate.onebuilding.org/WMO_Region_4_North_and_Central_America/USA_United_States_of_America/IA_Iowa/USA_IA_Sheldon.Muni.AP.725495_TMY3.zip")</f>
        <v>https://climate.onebuilding.org/WMO_Region_4_North_and_Central_America/USA_United_States_of_America/IA_Iowa/USA_IA_Sheldon.Muni.AP.725495_TMY3.zip</v>
      </c>
    </row>
    <row r="347" spans="1:10" x14ac:dyDescent="0.25">
      <c r="A347" t="s">
        <v>15</v>
      </c>
      <c r="B347" t="s">
        <v>344</v>
      </c>
      <c r="C347" t="s">
        <v>377</v>
      </c>
      <c r="D347">
        <v>725467</v>
      </c>
      <c r="E347" t="s">
        <v>13</v>
      </c>
      <c r="F347">
        <v>40.75</v>
      </c>
      <c r="G347">
        <v>-95.417000000000002</v>
      </c>
      <c r="H347">
        <v>-6</v>
      </c>
      <c r="I347">
        <v>296</v>
      </c>
      <c r="J347" t="str">
        <f>HYPERLINK("https://climate.onebuilding.org/WMO_Region_4_North_and_Central_America/USA_United_States_of_America/IA_Iowa/USA_IA_Shenandoah.Muni.AP.725467_TMY3.zip")</f>
        <v>https://climate.onebuilding.org/WMO_Region_4_North_and_Central_America/USA_United_States_of_America/IA_Iowa/USA_IA_Shenandoah.Muni.AP.725467_TMY3.zip</v>
      </c>
    </row>
    <row r="348" spans="1:10" x14ac:dyDescent="0.25">
      <c r="A348" t="s">
        <v>15</v>
      </c>
      <c r="B348" t="s">
        <v>344</v>
      </c>
      <c r="C348" t="s">
        <v>378</v>
      </c>
      <c r="D348">
        <v>725570</v>
      </c>
      <c r="E348" t="s">
        <v>13</v>
      </c>
      <c r="F348">
        <v>42.383000000000003</v>
      </c>
      <c r="G348">
        <v>-96.382999999999996</v>
      </c>
      <c r="H348">
        <v>-6</v>
      </c>
      <c r="I348">
        <v>333</v>
      </c>
      <c r="J348" t="str">
        <f>HYPERLINK("https://climate.onebuilding.org/WMO_Region_4_North_and_Central_America/USA_United_States_of_America/IA_Iowa/USA_IA_Sioux.City-Sioux.Gateway.AP.725570_TMY3.zip")</f>
        <v>https://climate.onebuilding.org/WMO_Region_4_North_and_Central_America/USA_United_States_of_America/IA_Iowa/USA_IA_Sioux.City-Sioux.Gateway.AP.725570_TMY3.zip</v>
      </c>
    </row>
    <row r="349" spans="1:10" x14ac:dyDescent="0.25">
      <c r="A349" t="s">
        <v>15</v>
      </c>
      <c r="B349" t="s">
        <v>344</v>
      </c>
      <c r="C349" t="s">
        <v>379</v>
      </c>
      <c r="D349">
        <v>726500</v>
      </c>
      <c r="E349" t="s">
        <v>13</v>
      </c>
      <c r="F349">
        <v>43.17</v>
      </c>
      <c r="G349">
        <v>-95.2</v>
      </c>
      <c r="H349">
        <v>-6</v>
      </c>
      <c r="I349">
        <v>408</v>
      </c>
      <c r="J349" t="str">
        <f>HYPERLINK("https://climate.onebuilding.org/WMO_Region_4_North_and_Central_America/USA_United_States_of_America/IA_Iowa/USA_IA_Spencer.Muni.AP.726500_TMY3.zip")</f>
        <v>https://climate.onebuilding.org/WMO_Region_4_North_and_Central_America/USA_United_States_of_America/IA_Iowa/USA_IA_Spencer.Muni.AP.726500_TMY3.zip</v>
      </c>
    </row>
    <row r="350" spans="1:10" x14ac:dyDescent="0.25">
      <c r="A350" t="s">
        <v>15</v>
      </c>
      <c r="B350" t="s">
        <v>344</v>
      </c>
      <c r="C350" t="s">
        <v>380</v>
      </c>
      <c r="D350">
        <v>725496</v>
      </c>
      <c r="E350" t="s">
        <v>13</v>
      </c>
      <c r="F350">
        <v>42.6</v>
      </c>
      <c r="G350">
        <v>-95.233000000000004</v>
      </c>
      <c r="H350">
        <v>-6</v>
      </c>
      <c r="I350">
        <v>454</v>
      </c>
      <c r="J350" t="str">
        <f>HYPERLINK("https://climate.onebuilding.org/WMO_Region_4_North_and_Central_America/USA_United_States_of_America/IA_Iowa/USA_IA_Storm.Lake.Muni.AP.725496_TMY3.zip")</f>
        <v>https://climate.onebuilding.org/WMO_Region_4_North_and_Central_America/USA_United_States_of_America/IA_Iowa/USA_IA_Storm.Lake.Muni.AP.725496_TMY3.zip</v>
      </c>
    </row>
    <row r="351" spans="1:10" x14ac:dyDescent="0.25">
      <c r="A351" t="s">
        <v>15</v>
      </c>
      <c r="B351" t="s">
        <v>344</v>
      </c>
      <c r="C351" t="s">
        <v>381</v>
      </c>
      <c r="D351">
        <v>725454</v>
      </c>
      <c r="E351" t="s">
        <v>13</v>
      </c>
      <c r="F351">
        <v>41.283000000000001</v>
      </c>
      <c r="G351">
        <v>-91.667000000000002</v>
      </c>
      <c r="H351">
        <v>-6</v>
      </c>
      <c r="I351">
        <v>230</v>
      </c>
      <c r="J351" t="str">
        <f>HYPERLINK("https://climate.onebuilding.org/WMO_Region_4_North_and_Central_America/USA_United_States_of_America/IA_Iowa/USA_IA_Washington.Muni.AP.725454_TMY3.zip")</f>
        <v>https://climate.onebuilding.org/WMO_Region_4_North_and_Central_America/USA_United_States_of_America/IA_Iowa/USA_IA_Washington.Muni.AP.725454_TMY3.zip</v>
      </c>
    </row>
    <row r="352" spans="1:10" x14ac:dyDescent="0.25">
      <c r="A352" t="s">
        <v>15</v>
      </c>
      <c r="B352" t="s">
        <v>344</v>
      </c>
      <c r="C352" t="s">
        <v>382</v>
      </c>
      <c r="D352">
        <v>725480</v>
      </c>
      <c r="E352" t="s">
        <v>13</v>
      </c>
      <c r="F352">
        <v>42.55</v>
      </c>
      <c r="G352">
        <v>-92.4</v>
      </c>
      <c r="H352">
        <v>-6</v>
      </c>
      <c r="I352">
        <v>264</v>
      </c>
      <c r="J352" t="str">
        <f>HYPERLINK("https://climate.onebuilding.org/WMO_Region_4_North_and_Central_America/USA_United_States_of_America/IA_Iowa/USA_IA_Waterloo.Rgnl.AP.725480_TMY3.zip")</f>
        <v>https://climate.onebuilding.org/WMO_Region_4_North_and_Central_America/USA_United_States_of_America/IA_Iowa/USA_IA_Waterloo.Rgnl.AP.725480_TMY3.zip</v>
      </c>
    </row>
    <row r="353" spans="1:10" x14ac:dyDescent="0.25">
      <c r="A353" t="s">
        <v>15</v>
      </c>
      <c r="B353" t="s">
        <v>344</v>
      </c>
      <c r="C353" t="s">
        <v>383</v>
      </c>
      <c r="D353">
        <v>725478</v>
      </c>
      <c r="E353" t="s">
        <v>13</v>
      </c>
      <c r="F353">
        <v>42.433</v>
      </c>
      <c r="G353">
        <v>-93.867000000000004</v>
      </c>
      <c r="H353">
        <v>-6</v>
      </c>
      <c r="I353">
        <v>342</v>
      </c>
      <c r="J353" t="str">
        <f>HYPERLINK("https://climate.onebuilding.org/WMO_Region_4_North_and_Central_America/USA_United_States_of_America/IA_Iowa/USA_IA_Webster.City.Muni.AP.725478_TMY3.zip")</f>
        <v>https://climate.onebuilding.org/WMO_Region_4_North_and_Central_America/USA_United_States_of_America/IA_Iowa/USA_IA_Webster.City.Muni.AP.725478_TMY3.zip</v>
      </c>
    </row>
    <row r="354" spans="1:10" x14ac:dyDescent="0.25">
      <c r="A354" t="s">
        <v>15</v>
      </c>
      <c r="B354" t="s">
        <v>384</v>
      </c>
      <c r="C354" t="s">
        <v>385</v>
      </c>
      <c r="D354">
        <v>726810</v>
      </c>
      <c r="E354" t="s">
        <v>13</v>
      </c>
      <c r="F354">
        <v>43.564</v>
      </c>
      <c r="G354">
        <v>-116.22499999999999</v>
      </c>
      <c r="H354">
        <v>-7</v>
      </c>
      <c r="I354">
        <v>701</v>
      </c>
      <c r="J354" t="str">
        <f>HYPERLINK("https://climate.onebuilding.org/WMO_Region_4_North_and_Central_America/USA_United_States_of_America/ID_Idaho/USA_ID_Boise.AP-Gowen.Field.ANGB.726810_TMY3.zip")</f>
        <v>https://climate.onebuilding.org/WMO_Region_4_North_and_Central_America/USA_United_States_of_America/ID_Idaho/USA_ID_Boise.AP-Gowen.Field.ANGB.726810_TMY3.zip</v>
      </c>
    </row>
    <row r="355" spans="1:10" x14ac:dyDescent="0.25">
      <c r="A355" t="s">
        <v>15</v>
      </c>
      <c r="B355" t="s">
        <v>384</v>
      </c>
      <c r="C355" t="s">
        <v>386</v>
      </c>
      <c r="D355">
        <v>725867</v>
      </c>
      <c r="E355" t="s">
        <v>13</v>
      </c>
      <c r="F355">
        <v>42.533000000000001</v>
      </c>
      <c r="G355">
        <v>-113.767</v>
      </c>
      <c r="H355">
        <v>-7</v>
      </c>
      <c r="I355">
        <v>1267</v>
      </c>
      <c r="J355" t="str">
        <f>HYPERLINK("https://climate.onebuilding.org/WMO_Region_4_North_and_Central_America/USA_United_States_of_America/ID_Idaho/USA_ID_Burley.Muni.AP.725867_TMY3.zip")</f>
        <v>https://climate.onebuilding.org/WMO_Region_4_North_and_Central_America/USA_United_States_of_America/ID_Idaho/USA_ID_Burley.Muni.AP.725867_TMY3.zip</v>
      </c>
    </row>
    <row r="356" spans="1:10" x14ac:dyDescent="0.25">
      <c r="A356" t="s">
        <v>15</v>
      </c>
      <c r="B356" t="s">
        <v>384</v>
      </c>
      <c r="C356" t="s">
        <v>387</v>
      </c>
      <c r="D356">
        <v>726813</v>
      </c>
      <c r="E356" t="s">
        <v>13</v>
      </c>
      <c r="F356">
        <v>43.633000000000003</v>
      </c>
      <c r="G356">
        <v>-116.633</v>
      </c>
      <c r="H356">
        <v>-7</v>
      </c>
      <c r="I356">
        <v>740</v>
      </c>
      <c r="J356" t="str">
        <f>HYPERLINK("https://climate.onebuilding.org/WMO_Region_4_North_and_Central_America/USA_United_States_of_America/ID_Idaho/USA_ID_Caldwell.Industrial.AP.726813_TMY3.zip")</f>
        <v>https://climate.onebuilding.org/WMO_Region_4_North_and_Central_America/USA_United_States_of_America/ID_Idaho/USA_ID_Caldwell.Industrial.AP.726813_TMY3.zip</v>
      </c>
    </row>
    <row r="357" spans="1:10" x14ac:dyDescent="0.25">
      <c r="A357" t="s">
        <v>15</v>
      </c>
      <c r="B357" t="s">
        <v>384</v>
      </c>
      <c r="C357" t="s">
        <v>388</v>
      </c>
      <c r="D357">
        <v>727834</v>
      </c>
      <c r="E357" t="s">
        <v>13</v>
      </c>
      <c r="F357">
        <v>47.767000000000003</v>
      </c>
      <c r="G357">
        <v>-116.81699999999999</v>
      </c>
      <c r="H357">
        <v>-8</v>
      </c>
      <c r="I357">
        <v>707</v>
      </c>
      <c r="J357" t="str">
        <f>HYPERLINK("https://climate.onebuilding.org/WMO_Region_4_North_and_Central_America/USA_United_States_of_America/ID_Idaho/USA_ID_Coeur.dAlene.AP-Boyington.Field.727834_TMY3.zip")</f>
        <v>https://climate.onebuilding.org/WMO_Region_4_North_and_Central_America/USA_United_States_of_America/ID_Idaho/USA_ID_Coeur.dAlene.AP-Boyington.Field.727834_TMY3.zip</v>
      </c>
    </row>
    <row r="358" spans="1:10" x14ac:dyDescent="0.25">
      <c r="A358" t="s">
        <v>15</v>
      </c>
      <c r="B358" t="s">
        <v>384</v>
      </c>
      <c r="C358" t="s">
        <v>389</v>
      </c>
      <c r="D358">
        <v>725865</v>
      </c>
      <c r="E358" t="s">
        <v>13</v>
      </c>
      <c r="F358">
        <v>43.5</v>
      </c>
      <c r="G358">
        <v>-114.3</v>
      </c>
      <c r="H358">
        <v>-7</v>
      </c>
      <c r="I358">
        <v>1620</v>
      </c>
      <c r="J358" t="str">
        <f>HYPERLINK("https://climate.onebuilding.org/WMO_Region_4_North_and_Central_America/USA_United_States_of_America/ID_Idaho/USA_ID_Hailey-Friedman.Meml.AP.725865_TMY3.zip")</f>
        <v>https://climate.onebuilding.org/WMO_Region_4_North_and_Central_America/USA_United_States_of_America/ID_Idaho/USA_ID_Hailey-Friedman.Meml.AP.725865_TMY3.zip</v>
      </c>
    </row>
    <row r="359" spans="1:10" x14ac:dyDescent="0.25">
      <c r="A359" t="s">
        <v>15</v>
      </c>
      <c r="B359" t="s">
        <v>384</v>
      </c>
      <c r="C359" t="s">
        <v>390</v>
      </c>
      <c r="D359">
        <v>725785</v>
      </c>
      <c r="E359" t="s">
        <v>13</v>
      </c>
      <c r="F359">
        <v>43.517000000000003</v>
      </c>
      <c r="G359">
        <v>-112.06699999999999</v>
      </c>
      <c r="H359">
        <v>-7</v>
      </c>
      <c r="I359">
        <v>1441</v>
      </c>
      <c r="J359" t="str">
        <f>HYPERLINK("https://climate.onebuilding.org/WMO_Region_4_North_and_Central_America/USA_United_States_of_America/ID_Idaho/USA_ID_Idaho.Falls.Rgnl.AP-Fanning.Field.725785_TMY3.zip")</f>
        <v>https://climate.onebuilding.org/WMO_Region_4_North_and_Central_America/USA_United_States_of_America/ID_Idaho/USA_ID_Idaho.Falls.Rgnl.AP-Fanning.Field.725785_TMY3.zip</v>
      </c>
    </row>
    <row r="360" spans="1:10" x14ac:dyDescent="0.25">
      <c r="A360" t="s">
        <v>15</v>
      </c>
      <c r="B360" t="s">
        <v>384</v>
      </c>
      <c r="C360" t="s">
        <v>391</v>
      </c>
      <c r="D360">
        <v>727830</v>
      </c>
      <c r="E360" t="s">
        <v>13</v>
      </c>
      <c r="F360">
        <v>46.366999999999997</v>
      </c>
      <c r="G360">
        <v>-117.017</v>
      </c>
      <c r="H360">
        <v>-8</v>
      </c>
      <c r="I360">
        <v>438</v>
      </c>
      <c r="J360" t="str">
        <f>HYPERLINK("https://climate.onebuilding.org/WMO_Region_4_North_and_Central_America/USA_United_States_of_America/ID_Idaho/USA_ID_Lewiston-Nez.Perce.County.AP.727830_TMY3.zip")</f>
        <v>https://climate.onebuilding.org/WMO_Region_4_North_and_Central_America/USA_United_States_of_America/ID_Idaho/USA_ID_Lewiston-Nez.Perce.County.AP.727830_TMY3.zip</v>
      </c>
    </row>
    <row r="361" spans="1:10" x14ac:dyDescent="0.25">
      <c r="A361" t="s">
        <v>15</v>
      </c>
      <c r="B361" t="s">
        <v>384</v>
      </c>
      <c r="C361" t="s">
        <v>392</v>
      </c>
      <c r="D361">
        <v>725786</v>
      </c>
      <c r="E361" t="s">
        <v>13</v>
      </c>
      <c r="F361">
        <v>42.15</v>
      </c>
      <c r="G361">
        <v>-112.283</v>
      </c>
      <c r="H361">
        <v>-7</v>
      </c>
      <c r="I361">
        <v>1362</v>
      </c>
      <c r="J361" t="str">
        <f>HYPERLINK("https://climate.onebuilding.org/WMO_Region_4_North_and_Central_America/USA_United_States_of_America/ID_Idaho/USA_ID_Malad.City.AP.725786_TMY3.zip")</f>
        <v>https://climate.onebuilding.org/WMO_Region_4_North_and_Central_America/USA_United_States_of_America/ID_Idaho/USA_ID_Malad.City.AP.725786_TMY3.zip</v>
      </c>
    </row>
    <row r="362" spans="1:10" x14ac:dyDescent="0.25">
      <c r="A362" t="s">
        <v>15</v>
      </c>
      <c r="B362" t="s">
        <v>384</v>
      </c>
      <c r="C362" t="s">
        <v>393</v>
      </c>
      <c r="D362">
        <v>726815</v>
      </c>
      <c r="E362" t="s">
        <v>13</v>
      </c>
      <c r="F362">
        <v>43.05</v>
      </c>
      <c r="G362">
        <v>-115.867</v>
      </c>
      <c r="H362">
        <v>-7</v>
      </c>
      <c r="I362">
        <v>912</v>
      </c>
      <c r="J362" t="str">
        <f>HYPERLINK("https://climate.onebuilding.org/WMO_Region_4_North_and_Central_America/USA_United_States_of_America/ID_Idaho/USA_ID_Mountain.Home.AFB.726815_TMY3.zip")</f>
        <v>https://climate.onebuilding.org/WMO_Region_4_North_and_Central_America/USA_United_States_of_America/ID_Idaho/USA_ID_Mountain.Home.AFB.726815_TMY3.zip</v>
      </c>
    </row>
    <row r="363" spans="1:10" x14ac:dyDescent="0.25">
      <c r="A363" t="s">
        <v>15</v>
      </c>
      <c r="B363" t="s">
        <v>384</v>
      </c>
      <c r="C363" t="s">
        <v>394</v>
      </c>
      <c r="D363">
        <v>725780</v>
      </c>
      <c r="E363" t="s">
        <v>13</v>
      </c>
      <c r="F363">
        <v>42.917000000000002</v>
      </c>
      <c r="G363">
        <v>-112.56699999999999</v>
      </c>
      <c r="H363">
        <v>-7</v>
      </c>
      <c r="I363">
        <v>1353</v>
      </c>
      <c r="J363" t="str">
        <f>HYPERLINK("https://climate.onebuilding.org/WMO_Region_4_North_and_Central_America/USA_United_States_of_America/ID_Idaho/USA_ID_Pocatello.Rgnl.AP.725780_TMY3.zip")</f>
        <v>https://climate.onebuilding.org/WMO_Region_4_North_and_Central_America/USA_United_States_of_America/ID_Idaho/USA_ID_Pocatello.Rgnl.AP.725780_TMY3.zip</v>
      </c>
    </row>
    <row r="364" spans="1:10" x14ac:dyDescent="0.25">
      <c r="A364" t="s">
        <v>15</v>
      </c>
      <c r="B364" t="s">
        <v>384</v>
      </c>
      <c r="C364" t="s">
        <v>395</v>
      </c>
      <c r="D364">
        <v>726865</v>
      </c>
      <c r="E364" t="s">
        <v>13</v>
      </c>
      <c r="F364">
        <v>45.116999999999997</v>
      </c>
      <c r="G364">
        <v>-113.883</v>
      </c>
      <c r="H364">
        <v>-7</v>
      </c>
      <c r="I364">
        <v>1233</v>
      </c>
      <c r="J364" t="str">
        <f>HYPERLINK("https://climate.onebuilding.org/WMO_Region_4_North_and_Central_America/USA_United_States_of_America/ID_Idaho/USA_ID_Salmon-Lemhi.County.AP.726865_TMY3.zip")</f>
        <v>https://climate.onebuilding.org/WMO_Region_4_North_and_Central_America/USA_United_States_of_America/ID_Idaho/USA_ID_Salmon-Lemhi.County.AP.726865_TMY3.zip</v>
      </c>
    </row>
    <row r="365" spans="1:10" x14ac:dyDescent="0.25">
      <c r="A365" t="s">
        <v>15</v>
      </c>
      <c r="B365" t="s">
        <v>384</v>
      </c>
      <c r="C365" t="s">
        <v>396</v>
      </c>
      <c r="D365">
        <v>725868</v>
      </c>
      <c r="E365" t="s">
        <v>13</v>
      </c>
      <c r="F365">
        <v>42.65</v>
      </c>
      <c r="G365">
        <v>-111.583</v>
      </c>
      <c r="H365">
        <v>-7</v>
      </c>
      <c r="I365">
        <v>1780</v>
      </c>
      <c r="J365" t="str">
        <f>HYPERLINK("https://climate.onebuilding.org/WMO_Region_4_North_and_Central_America/USA_United_States_of_America/ID_Idaho/USA_ID_Soda.Springs-Tigert.AP.725868_TMY3.zip")</f>
        <v>https://climate.onebuilding.org/WMO_Region_4_North_and_Central_America/USA_United_States_of_America/ID_Idaho/USA_ID_Soda.Springs-Tigert.AP.725868_TMY3.zip</v>
      </c>
    </row>
    <row r="366" spans="1:10" x14ac:dyDescent="0.25">
      <c r="A366" t="s">
        <v>15</v>
      </c>
      <c r="B366" t="s">
        <v>384</v>
      </c>
      <c r="C366" t="s">
        <v>397</v>
      </c>
      <c r="D366">
        <v>725866</v>
      </c>
      <c r="E366" t="s">
        <v>13</v>
      </c>
      <c r="F366">
        <v>42.481000000000002</v>
      </c>
      <c r="G366">
        <v>-114.486</v>
      </c>
      <c r="H366">
        <v>-7</v>
      </c>
      <c r="I366">
        <v>1200</v>
      </c>
      <c r="J366" t="str">
        <f>HYPERLINK("https://climate.onebuilding.org/WMO_Region_4_North_and_Central_America/USA_United_States_of_America/ID_Idaho/USA_ID_Twin.Falls-Magic.Valley.Rgnl.AP-Joslin.Field.725866_TMY3.zip")</f>
        <v>https://climate.onebuilding.org/WMO_Region_4_North_and_Central_America/USA_United_States_of_America/ID_Idaho/USA_ID_Twin.Falls-Magic.Valley.Rgnl.AP-Joslin.Field.725866_TMY3.zip</v>
      </c>
    </row>
    <row r="367" spans="1:10" x14ac:dyDescent="0.25">
      <c r="A367" t="s">
        <v>15</v>
      </c>
      <c r="B367" t="s">
        <v>398</v>
      </c>
      <c r="C367" t="s">
        <v>399</v>
      </c>
      <c r="D367">
        <v>744655</v>
      </c>
      <c r="E367" t="s">
        <v>13</v>
      </c>
      <c r="F367">
        <v>41.767000000000003</v>
      </c>
      <c r="G367">
        <v>-88.466999999999999</v>
      </c>
      <c r="H367">
        <v>-6</v>
      </c>
      <c r="I367">
        <v>215</v>
      </c>
      <c r="J367" t="str">
        <f>HYPERLINK("https://climate.onebuilding.org/WMO_Region_4_North_and_Central_America/USA_United_States_of_America/IL_Illinois/USA_IL_Aurora.Muni.AP.744655_TMY3.zip")</f>
        <v>https://climate.onebuilding.org/WMO_Region_4_North_and_Central_America/USA_United_States_of_America/IL_Illinois/USA_IL_Aurora.Muni.AP.744655_TMY3.zip</v>
      </c>
    </row>
    <row r="368" spans="1:10" x14ac:dyDescent="0.25">
      <c r="A368" t="s">
        <v>15</v>
      </c>
      <c r="B368" t="s">
        <v>398</v>
      </c>
      <c r="C368" t="s">
        <v>400</v>
      </c>
      <c r="D368">
        <v>724338</v>
      </c>
      <c r="E368" t="s">
        <v>13</v>
      </c>
      <c r="F368">
        <v>38.549999999999997</v>
      </c>
      <c r="G368">
        <v>-89.85</v>
      </c>
      <c r="H368">
        <v>-6</v>
      </c>
      <c r="I368">
        <v>135</v>
      </c>
      <c r="J368" t="str">
        <f>HYPERLINK("https://climate.onebuilding.org/WMO_Region_4_North_and_Central_America/USA_United_States_of_America/IL_Illinois/USA_IL_Belleville-Scott.AFB.724338_TMY3.zip")</f>
        <v>https://climate.onebuilding.org/WMO_Region_4_North_and_Central_America/USA_United_States_of_America/IL_Illinois/USA_IL_Belleville-Scott.AFB.724338_TMY3.zip</v>
      </c>
    </row>
    <row r="369" spans="1:10" x14ac:dyDescent="0.25">
      <c r="A369" t="s">
        <v>15</v>
      </c>
      <c r="B369" t="s">
        <v>398</v>
      </c>
      <c r="C369" t="s">
        <v>401</v>
      </c>
      <c r="D369">
        <v>724397</v>
      </c>
      <c r="E369" t="s">
        <v>13</v>
      </c>
      <c r="F369">
        <v>40.466999999999999</v>
      </c>
      <c r="G369">
        <v>-88.917000000000002</v>
      </c>
      <c r="H369">
        <v>-6</v>
      </c>
      <c r="I369">
        <v>272</v>
      </c>
      <c r="J369" t="str">
        <f>HYPERLINK("https://climate.onebuilding.org/WMO_Region_4_North_and_Central_America/USA_United_States_of_America/IL_Illinois/USA_IL_Bloomington.Normal-Central.Illinois.Rgnl.AP.724397_TMY3.zip")</f>
        <v>https://climate.onebuilding.org/WMO_Region_4_North_and_Central_America/USA_United_States_of_America/IL_Illinois/USA_IL_Bloomington.Normal-Central.Illinois.Rgnl.AP.724397_TMY3.zip</v>
      </c>
    </row>
    <row r="370" spans="1:10" x14ac:dyDescent="0.25">
      <c r="A370" t="s">
        <v>15</v>
      </c>
      <c r="B370" t="s">
        <v>398</v>
      </c>
      <c r="C370" t="s">
        <v>402</v>
      </c>
      <c r="D370">
        <v>725314</v>
      </c>
      <c r="E370" t="s">
        <v>13</v>
      </c>
      <c r="F370">
        <v>38.567</v>
      </c>
      <c r="G370">
        <v>-90.15</v>
      </c>
      <c r="H370">
        <v>-6</v>
      </c>
      <c r="I370">
        <v>126</v>
      </c>
      <c r="J370" t="str">
        <f>HYPERLINK("https://climate.onebuilding.org/WMO_Region_4_North_and_Central_America/USA_United_States_of_America/IL_Illinois/USA_IL_Cahokia-St.Louis.Downtown.AP.725314_TMY3.zip")</f>
        <v>https://climate.onebuilding.org/WMO_Region_4_North_and_Central_America/USA_United_States_of_America/IL_Illinois/USA_IL_Cahokia-St.Louis.Downtown.AP.725314_TMY3.zip</v>
      </c>
    </row>
    <row r="371" spans="1:10" x14ac:dyDescent="0.25">
      <c r="A371" t="s">
        <v>15</v>
      </c>
      <c r="B371" t="s">
        <v>398</v>
      </c>
      <c r="C371" t="s">
        <v>403</v>
      </c>
      <c r="D371">
        <v>724336</v>
      </c>
      <c r="E371" t="s">
        <v>13</v>
      </c>
      <c r="F371">
        <v>37.767000000000003</v>
      </c>
      <c r="G371">
        <v>-89.25</v>
      </c>
      <c r="H371">
        <v>-6</v>
      </c>
      <c r="I371">
        <v>128</v>
      </c>
      <c r="J371" t="str">
        <f>HYPERLINK("https://climate.onebuilding.org/WMO_Region_4_North_and_Central_America/USA_United_States_of_America/IL_Illinois/USA_IL_Carbondale-Southern.Illinois.AP.724336_TMY3.zip")</f>
        <v>https://climate.onebuilding.org/WMO_Region_4_North_and_Central_America/USA_United_States_of_America/IL_Illinois/USA_IL_Carbondale-Southern.Illinois.AP.724336_TMY3.zip</v>
      </c>
    </row>
    <row r="372" spans="1:10" x14ac:dyDescent="0.25">
      <c r="A372" t="s">
        <v>15</v>
      </c>
      <c r="B372" t="s">
        <v>398</v>
      </c>
      <c r="C372" t="s">
        <v>404</v>
      </c>
      <c r="D372">
        <v>725340</v>
      </c>
      <c r="E372" t="s">
        <v>13</v>
      </c>
      <c r="F372">
        <v>41.783000000000001</v>
      </c>
      <c r="G372">
        <v>-87.75</v>
      </c>
      <c r="H372">
        <v>-6</v>
      </c>
      <c r="I372">
        <v>186</v>
      </c>
      <c r="J372" t="str">
        <f>HYPERLINK("https://climate.onebuilding.org/WMO_Region_4_North_and_Central_America/USA_United_States_of_America/IL_Illinois/USA_IL_Chicago.Midway.Intl.AP.725340_TMY3.zip")</f>
        <v>https://climate.onebuilding.org/WMO_Region_4_North_and_Central_America/USA_United_States_of_America/IL_Illinois/USA_IL_Chicago.Midway.Intl.AP.725340_TMY3.zip</v>
      </c>
    </row>
    <row r="373" spans="1:10" x14ac:dyDescent="0.25">
      <c r="A373" t="s">
        <v>15</v>
      </c>
      <c r="B373" t="s">
        <v>398</v>
      </c>
      <c r="C373" t="s">
        <v>405</v>
      </c>
      <c r="D373">
        <v>725300</v>
      </c>
      <c r="E373" t="s">
        <v>13</v>
      </c>
      <c r="F373">
        <v>41.982999999999997</v>
      </c>
      <c r="G373">
        <v>-87.917000000000002</v>
      </c>
      <c r="H373">
        <v>-6</v>
      </c>
      <c r="I373">
        <v>201</v>
      </c>
      <c r="J373" t="str">
        <f>HYPERLINK("https://climate.onebuilding.org/WMO_Region_4_North_and_Central_America/USA_United_States_of_America/IL_Illinois/USA_IL_Chicago.OHare.Intl.AP.725300_TMY3.zip")</f>
        <v>https://climate.onebuilding.org/WMO_Region_4_North_and_Central_America/USA_United_States_of_America/IL_Illinois/USA_IL_Chicago.OHare.Intl.AP.725300_TMY3.zip</v>
      </c>
    </row>
    <row r="374" spans="1:10" x14ac:dyDescent="0.25">
      <c r="A374" t="s">
        <v>15</v>
      </c>
      <c r="B374" t="s">
        <v>398</v>
      </c>
      <c r="C374" t="s">
        <v>406</v>
      </c>
      <c r="D374">
        <v>725316</v>
      </c>
      <c r="E374" t="s">
        <v>13</v>
      </c>
      <c r="F374">
        <v>39.832999999999998</v>
      </c>
      <c r="G374">
        <v>-88.867000000000004</v>
      </c>
      <c r="H374">
        <v>-6</v>
      </c>
      <c r="I374">
        <v>213</v>
      </c>
      <c r="J374" t="str">
        <f>HYPERLINK("https://climate.onebuilding.org/WMO_Region_4_North_and_Central_America/USA_United_States_of_America/IL_Illinois/USA_IL_Decatur.AP.725316_TMY3.zip")</f>
        <v>https://climate.onebuilding.org/WMO_Region_4_North_and_Central_America/USA_United_States_of_America/IL_Illinois/USA_IL_Decatur.AP.725316_TMY3.zip</v>
      </c>
    </row>
    <row r="375" spans="1:10" x14ac:dyDescent="0.25">
      <c r="A375" t="s">
        <v>15</v>
      </c>
      <c r="B375" t="s">
        <v>398</v>
      </c>
      <c r="C375" t="s">
        <v>407</v>
      </c>
      <c r="D375">
        <v>725305</v>
      </c>
      <c r="E375" t="s">
        <v>13</v>
      </c>
      <c r="F375">
        <v>41.917000000000002</v>
      </c>
      <c r="G375">
        <v>-88.25</v>
      </c>
      <c r="H375">
        <v>-6</v>
      </c>
      <c r="I375">
        <v>231</v>
      </c>
      <c r="J375" t="str">
        <f>HYPERLINK("https://climate.onebuilding.org/WMO_Region_4_North_and_Central_America/USA_United_States_of_America/IL_Illinois/USA_IL_Du.Page.AP.725305_TMY3.zip")</f>
        <v>https://climate.onebuilding.org/WMO_Region_4_North_and_Central_America/USA_United_States_of_America/IL_Illinois/USA_IL_Du.Page.AP.725305_TMY3.zip</v>
      </c>
    </row>
    <row r="376" spans="1:10" x14ac:dyDescent="0.25">
      <c r="A376" t="s">
        <v>15</v>
      </c>
      <c r="B376" t="s">
        <v>398</v>
      </c>
      <c r="C376" t="s">
        <v>408</v>
      </c>
      <c r="D376">
        <v>724339</v>
      </c>
      <c r="E376" t="s">
        <v>13</v>
      </c>
      <c r="F376">
        <v>37.75</v>
      </c>
      <c r="G376">
        <v>-89.016999999999996</v>
      </c>
      <c r="H376">
        <v>-6</v>
      </c>
      <c r="I376">
        <v>144</v>
      </c>
      <c r="J376" t="str">
        <f>HYPERLINK("https://climate.onebuilding.org/WMO_Region_4_North_and_Central_America/USA_United_States_of_America/IL_Illinois/USA_IL_Marion-Williamson.County.Rgnl.AP.724339_TMY3.zip")</f>
        <v>https://climate.onebuilding.org/WMO_Region_4_North_and_Central_America/USA_United_States_of_America/IL_Illinois/USA_IL_Marion-Williamson.County.Rgnl.AP.724339_TMY3.zip</v>
      </c>
    </row>
    <row r="377" spans="1:10" x14ac:dyDescent="0.25">
      <c r="A377" t="s">
        <v>15</v>
      </c>
      <c r="B377" t="s">
        <v>398</v>
      </c>
      <c r="C377" t="s">
        <v>409</v>
      </c>
      <c r="D377">
        <v>725440</v>
      </c>
      <c r="E377" t="s">
        <v>13</v>
      </c>
      <c r="F377">
        <v>41.466999999999999</v>
      </c>
      <c r="G377">
        <v>-90.516999999999996</v>
      </c>
      <c r="H377">
        <v>-6</v>
      </c>
      <c r="I377">
        <v>180</v>
      </c>
      <c r="J377" t="str">
        <f>HYPERLINK("https://climate.onebuilding.org/WMO_Region_4_North_and_Central_America/USA_United_States_of_America/IL_Illinois/USA_IL_Moline-Quad.City.Intl.AP.725440_TMY3.zip")</f>
        <v>https://climate.onebuilding.org/WMO_Region_4_North_and_Central_America/USA_United_States_of_America/IL_Illinois/USA_IL_Moline-Quad.City.Intl.AP.725440_TMY3.zip</v>
      </c>
    </row>
    <row r="378" spans="1:10" x14ac:dyDescent="0.25">
      <c r="A378" t="s">
        <v>15</v>
      </c>
      <c r="B378" t="s">
        <v>398</v>
      </c>
      <c r="C378" t="s">
        <v>410</v>
      </c>
      <c r="D378">
        <v>724335</v>
      </c>
      <c r="E378" t="s">
        <v>13</v>
      </c>
      <c r="F378">
        <v>38.317</v>
      </c>
      <c r="G378">
        <v>-88.867000000000004</v>
      </c>
      <c r="H378">
        <v>-6</v>
      </c>
      <c r="I378">
        <v>146</v>
      </c>
      <c r="J378" t="str">
        <f>HYPERLINK("https://climate.onebuilding.org/WMO_Region_4_North_and_Central_America/USA_United_States_of_America/IL_Illinois/USA_IL_Mount.Vernon.Outland.AP.724335_TMY3.zip")</f>
        <v>https://climate.onebuilding.org/WMO_Region_4_North_and_Central_America/USA_United_States_of_America/IL_Illinois/USA_IL_Mount.Vernon.Outland.AP.724335_TMY3.zip</v>
      </c>
    </row>
    <row r="379" spans="1:10" x14ac:dyDescent="0.25">
      <c r="A379" t="s">
        <v>15</v>
      </c>
      <c r="B379" t="s">
        <v>398</v>
      </c>
      <c r="C379" t="s">
        <v>411</v>
      </c>
      <c r="D379">
        <v>725320</v>
      </c>
      <c r="E379" t="s">
        <v>13</v>
      </c>
      <c r="F379">
        <v>40.667000000000002</v>
      </c>
      <c r="G379">
        <v>-89.683000000000007</v>
      </c>
      <c r="H379">
        <v>-6</v>
      </c>
      <c r="I379">
        <v>199</v>
      </c>
      <c r="J379" t="str">
        <f>HYPERLINK("https://climate.onebuilding.org/WMO_Region_4_North_and_Central_America/USA_United_States_of_America/IL_Illinois/USA_IL_Peoria-Downing.Peoria.Intl.AP.725320_TMY3.zip")</f>
        <v>https://climate.onebuilding.org/WMO_Region_4_North_and_Central_America/USA_United_States_of_America/IL_Illinois/USA_IL_Peoria-Downing.Peoria.Intl.AP.725320_TMY3.zip</v>
      </c>
    </row>
    <row r="380" spans="1:10" x14ac:dyDescent="0.25">
      <c r="A380" t="s">
        <v>15</v>
      </c>
      <c r="B380" t="s">
        <v>398</v>
      </c>
      <c r="C380" t="s">
        <v>412</v>
      </c>
      <c r="D380">
        <v>724430</v>
      </c>
      <c r="E380" t="s">
        <v>13</v>
      </c>
      <c r="F380">
        <v>39.933</v>
      </c>
      <c r="G380">
        <v>-91.2</v>
      </c>
      <c r="H380">
        <v>-6</v>
      </c>
      <c r="I380">
        <v>233</v>
      </c>
      <c r="J380" t="str">
        <f>HYPERLINK("https://climate.onebuilding.org/WMO_Region_4_North_and_Central_America/USA_United_States_of_America/IL_Illinois/USA_IL_Quincy.Rgnl.AP-Baldwin.Field.724430_TMY3.zip")</f>
        <v>https://climate.onebuilding.org/WMO_Region_4_North_and_Central_America/USA_United_States_of_America/IL_Illinois/USA_IL_Quincy.Rgnl.AP-Baldwin.Field.724430_TMY3.zip</v>
      </c>
    </row>
    <row r="381" spans="1:10" x14ac:dyDescent="0.25">
      <c r="A381" t="s">
        <v>15</v>
      </c>
      <c r="B381" t="s">
        <v>398</v>
      </c>
      <c r="C381" t="s">
        <v>413</v>
      </c>
      <c r="D381">
        <v>725430</v>
      </c>
      <c r="E381" t="s">
        <v>13</v>
      </c>
      <c r="F381">
        <v>42.2</v>
      </c>
      <c r="G381">
        <v>-89.1</v>
      </c>
      <c r="H381">
        <v>-6</v>
      </c>
      <c r="I381">
        <v>223</v>
      </c>
      <c r="J381" t="str">
        <f>HYPERLINK("https://climate.onebuilding.org/WMO_Region_4_North_and_Central_America/USA_United_States_of_America/IL_Illinois/USA_IL_Rockford-Chicago.Rockford.Intl.AP.725430_TMY3.zip")</f>
        <v>https://climate.onebuilding.org/WMO_Region_4_North_and_Central_America/USA_United_States_of_America/IL_Illinois/USA_IL_Rockford-Chicago.Rockford.Intl.AP.725430_TMY3.zip</v>
      </c>
    </row>
    <row r="382" spans="1:10" x14ac:dyDescent="0.25">
      <c r="A382" t="s">
        <v>15</v>
      </c>
      <c r="B382" t="s">
        <v>398</v>
      </c>
      <c r="C382" t="s">
        <v>414</v>
      </c>
      <c r="D382">
        <v>724390</v>
      </c>
      <c r="E382" t="s">
        <v>13</v>
      </c>
      <c r="F382">
        <v>39.85</v>
      </c>
      <c r="G382">
        <v>-89.683000000000007</v>
      </c>
      <c r="H382">
        <v>-6</v>
      </c>
      <c r="I382">
        <v>179</v>
      </c>
      <c r="J382" t="str">
        <f>HYPERLINK("https://climate.onebuilding.org/WMO_Region_4_North_and_Central_America/USA_United_States_of_America/IL_Illinois/USA_IL_Springfield-Lincoln.Capital.AP.724390_TMY3.zip")</f>
        <v>https://climate.onebuilding.org/WMO_Region_4_North_and_Central_America/USA_United_States_of_America/IL_Illinois/USA_IL_Springfield-Lincoln.Capital.AP.724390_TMY3.zip</v>
      </c>
    </row>
    <row r="383" spans="1:10" x14ac:dyDescent="0.25">
      <c r="A383" t="s">
        <v>15</v>
      </c>
      <c r="B383" t="s">
        <v>398</v>
      </c>
      <c r="C383" t="s">
        <v>415</v>
      </c>
      <c r="D383">
        <v>725326</v>
      </c>
      <c r="E383" t="s">
        <v>13</v>
      </c>
      <c r="F383">
        <v>41.75</v>
      </c>
      <c r="G383">
        <v>-89.667000000000002</v>
      </c>
      <c r="H383">
        <v>-6</v>
      </c>
      <c r="I383">
        <v>197</v>
      </c>
      <c r="J383" t="str">
        <f>HYPERLINK("https://climate.onebuilding.org/WMO_Region_4_North_and_Central_America/USA_United_States_of_America/IL_Illinois/USA_IL_Sterling-Rock.Falls.Whiteside.County.AP-Bittorf.Field.725326_TMY3.zip")</f>
        <v>https://climate.onebuilding.org/WMO_Region_4_North_and_Central_America/USA_United_States_of_America/IL_Illinois/USA_IL_Sterling-Rock.Falls.Whiteside.County.AP-Bittorf.Field.725326_TMY3.zip</v>
      </c>
    </row>
    <row r="384" spans="1:10" x14ac:dyDescent="0.25">
      <c r="A384" t="s">
        <v>15</v>
      </c>
      <c r="B384" t="s">
        <v>398</v>
      </c>
      <c r="C384" t="s">
        <v>416</v>
      </c>
      <c r="D384">
        <v>725315</v>
      </c>
      <c r="E384" t="s">
        <v>13</v>
      </c>
      <c r="F384">
        <v>40.06</v>
      </c>
      <c r="G384">
        <v>-88.37</v>
      </c>
      <c r="H384">
        <v>-6</v>
      </c>
      <c r="I384">
        <v>213</v>
      </c>
      <c r="J384" t="str">
        <f>HYPERLINK("https://climate.onebuilding.org/WMO_Region_4_North_and_Central_America/USA_United_States_of_America/IL_Illinois/USA_IL_Urbana-Champaign-Univ.Illinois.Willard.AP-Bondville.SURFRAD.725315_TMY3.zip")</f>
        <v>https://climate.onebuilding.org/WMO_Region_4_North_and_Central_America/USA_United_States_of_America/IL_Illinois/USA_IL_Urbana-Champaign-Univ.Illinois.Willard.AP-Bondville.SURFRAD.725315_TMY3.zip</v>
      </c>
    </row>
    <row r="385" spans="1:10" x14ac:dyDescent="0.25">
      <c r="A385" t="s">
        <v>15</v>
      </c>
      <c r="B385" t="s">
        <v>398</v>
      </c>
      <c r="C385" t="s">
        <v>417</v>
      </c>
      <c r="D385">
        <v>725347</v>
      </c>
      <c r="E385" t="s">
        <v>13</v>
      </c>
      <c r="F385">
        <v>42.417000000000002</v>
      </c>
      <c r="G385">
        <v>-87.867000000000004</v>
      </c>
      <c r="H385">
        <v>-6</v>
      </c>
      <c r="I385">
        <v>222</v>
      </c>
      <c r="J385" t="str">
        <f>HYPERLINK("https://climate.onebuilding.org/WMO_Region_4_North_and_Central_America/USA_United_States_of_America/IL_Illinois/USA_IL_Waukegan.Rgnl.AP.725347_TMY3.zip")</f>
        <v>https://climate.onebuilding.org/WMO_Region_4_North_and_Central_America/USA_United_States_of_America/IL_Illinois/USA_IL_Waukegan.Rgnl.AP.725347_TMY3.zip</v>
      </c>
    </row>
    <row r="386" spans="1:10" x14ac:dyDescent="0.25">
      <c r="A386" t="s">
        <v>15</v>
      </c>
      <c r="B386" t="s">
        <v>418</v>
      </c>
      <c r="C386" t="s">
        <v>419</v>
      </c>
      <c r="D386">
        <v>725336</v>
      </c>
      <c r="E386" t="s">
        <v>13</v>
      </c>
      <c r="F386">
        <v>40.232999999999997</v>
      </c>
      <c r="G386">
        <v>-85.4</v>
      </c>
      <c r="H386">
        <v>-5</v>
      </c>
      <c r="I386">
        <v>293</v>
      </c>
      <c r="J386" t="str">
        <f>HYPERLINK("https://climate.onebuilding.org/WMO_Region_4_North_and_Central_America/USA_United_States_of_America/IN_Indiana/USA_IN_Muncie-Delaware.County.Rgnl.AP.725336_TMY3.zip")</f>
        <v>https://climate.onebuilding.org/WMO_Region_4_North_and_Central_America/USA_United_States_of_America/IN_Indiana/USA_IN_Muncie-Delaware.County.Rgnl.AP.725336_TMY3.zip</v>
      </c>
    </row>
    <row r="387" spans="1:10" x14ac:dyDescent="0.25">
      <c r="A387" t="s">
        <v>15</v>
      </c>
      <c r="B387" t="s">
        <v>418</v>
      </c>
      <c r="C387" t="s">
        <v>420</v>
      </c>
      <c r="D387">
        <v>724320</v>
      </c>
      <c r="E387" t="s">
        <v>13</v>
      </c>
      <c r="F387">
        <v>38.049999999999997</v>
      </c>
      <c r="G387">
        <v>-87.533000000000001</v>
      </c>
      <c r="H387">
        <v>-6</v>
      </c>
      <c r="I387">
        <v>116</v>
      </c>
      <c r="J387" t="str">
        <f>HYPERLINK("https://climate.onebuilding.org/WMO_Region_4_North_and_Central_America/USA_United_States_of_America/IN_Indiana/USA_IN_Evansville.Rgnl.AP.724320_TMY3.zip")</f>
        <v>https://climate.onebuilding.org/WMO_Region_4_North_and_Central_America/USA_United_States_of_America/IN_Indiana/USA_IN_Evansville.Rgnl.AP.724320_TMY3.zip</v>
      </c>
    </row>
    <row r="388" spans="1:10" x14ac:dyDescent="0.25">
      <c r="A388" t="s">
        <v>15</v>
      </c>
      <c r="B388" t="s">
        <v>418</v>
      </c>
      <c r="C388" t="s">
        <v>421</v>
      </c>
      <c r="D388">
        <v>725330</v>
      </c>
      <c r="E388" t="s">
        <v>13</v>
      </c>
      <c r="F388">
        <v>41</v>
      </c>
      <c r="G388">
        <v>-85.2</v>
      </c>
      <c r="H388">
        <v>-5</v>
      </c>
      <c r="I388">
        <v>241</v>
      </c>
      <c r="J388" t="str">
        <f>HYPERLINK("https://climate.onebuilding.org/WMO_Region_4_North_and_Central_America/USA_United_States_of_America/IN_Indiana/USA_IN_Fort.Wayne.Intl.AP.725330_TMY3.zip")</f>
        <v>https://climate.onebuilding.org/WMO_Region_4_North_and_Central_America/USA_United_States_of_America/IN_Indiana/USA_IN_Fort.Wayne.Intl.AP.725330_TMY3.zip</v>
      </c>
    </row>
    <row r="389" spans="1:10" x14ac:dyDescent="0.25">
      <c r="A389" t="s">
        <v>15</v>
      </c>
      <c r="B389" t="s">
        <v>418</v>
      </c>
      <c r="C389" t="s">
        <v>422</v>
      </c>
      <c r="D389">
        <v>725335</v>
      </c>
      <c r="E389" t="s">
        <v>13</v>
      </c>
      <c r="F389">
        <v>40.65</v>
      </c>
      <c r="G389">
        <v>-86.15</v>
      </c>
      <c r="H389">
        <v>-5</v>
      </c>
      <c r="I389">
        <v>253</v>
      </c>
      <c r="J389" t="str">
        <f>HYPERLINK("https://climate.onebuilding.org/WMO_Region_4_North_and_Central_America/USA_United_States_of_America/IN_Indiana/USA_IN_Grissom.ARB.725335_TMY3.zip")</f>
        <v>https://climate.onebuilding.org/WMO_Region_4_North_and_Central_America/USA_United_States_of_America/IN_Indiana/USA_IN_Grissom.ARB.725335_TMY3.zip</v>
      </c>
    </row>
    <row r="390" spans="1:10" x14ac:dyDescent="0.25">
      <c r="A390" t="s">
        <v>15</v>
      </c>
      <c r="B390" t="s">
        <v>418</v>
      </c>
      <c r="C390" t="s">
        <v>423</v>
      </c>
      <c r="D390">
        <v>724365</v>
      </c>
      <c r="E390" t="s">
        <v>13</v>
      </c>
      <c r="F390">
        <v>38.25</v>
      </c>
      <c r="G390">
        <v>-86.95</v>
      </c>
      <c r="H390">
        <v>-5</v>
      </c>
      <c r="I390">
        <v>161</v>
      </c>
      <c r="J390" t="str">
        <f>HYPERLINK("https://climate.onebuilding.org/WMO_Region_4_North_and_Central_America/USA_United_States_of_America/IN_Indiana/USA_IN_Huntingburg.Muni.AP.724365_TMY3.zip")</f>
        <v>https://climate.onebuilding.org/WMO_Region_4_North_and_Central_America/USA_United_States_of_America/IN_Indiana/USA_IN_Huntingburg.Muni.AP.724365_TMY3.zip</v>
      </c>
    </row>
    <row r="391" spans="1:10" x14ac:dyDescent="0.25">
      <c r="A391" t="s">
        <v>15</v>
      </c>
      <c r="B391" t="s">
        <v>418</v>
      </c>
      <c r="C391" t="s">
        <v>424</v>
      </c>
      <c r="D391">
        <v>724380</v>
      </c>
      <c r="E391" t="s">
        <v>13</v>
      </c>
      <c r="F391">
        <v>39.716999999999999</v>
      </c>
      <c r="G391">
        <v>-86.266999999999996</v>
      </c>
      <c r="H391">
        <v>-5</v>
      </c>
      <c r="I391">
        <v>241</v>
      </c>
      <c r="J391" t="str">
        <f>HYPERLINK("https://climate.onebuilding.org/WMO_Region_4_North_and_Central_America/USA_United_States_of_America/IN_Indiana/USA_IN_Indianapolis.Intl.AP.724380_TMY3.zip")</f>
        <v>https://climate.onebuilding.org/WMO_Region_4_North_and_Central_America/USA_United_States_of_America/IN_Indiana/USA_IN_Indianapolis.Intl.AP.724380_TMY3.zip</v>
      </c>
    </row>
    <row r="392" spans="1:10" x14ac:dyDescent="0.25">
      <c r="A392" t="s">
        <v>15</v>
      </c>
      <c r="B392" t="s">
        <v>418</v>
      </c>
      <c r="C392" t="s">
        <v>425</v>
      </c>
      <c r="D392">
        <v>724386</v>
      </c>
      <c r="E392" t="s">
        <v>13</v>
      </c>
      <c r="F392">
        <v>40.417000000000002</v>
      </c>
      <c r="G392">
        <v>-86.933000000000007</v>
      </c>
      <c r="H392">
        <v>-5</v>
      </c>
      <c r="I392">
        <v>183</v>
      </c>
      <c r="J392" t="str">
        <f>HYPERLINK("https://climate.onebuilding.org/WMO_Region_4_North_and_Central_America/USA_United_States_of_America/IN_Indiana/USA_IN_Lafayette-Purdue.Univ.AP.724386_TMY3.zip")</f>
        <v>https://climate.onebuilding.org/WMO_Region_4_North_and_Central_America/USA_United_States_of_America/IN_Indiana/USA_IN_Lafayette-Purdue.Univ.AP.724386_TMY3.zip</v>
      </c>
    </row>
    <row r="393" spans="1:10" x14ac:dyDescent="0.25">
      <c r="A393" t="s">
        <v>15</v>
      </c>
      <c r="B393" t="s">
        <v>418</v>
      </c>
      <c r="C393" t="s">
        <v>426</v>
      </c>
      <c r="D393">
        <v>724375</v>
      </c>
      <c r="E393" t="s">
        <v>13</v>
      </c>
      <c r="F393">
        <v>39.133000000000003</v>
      </c>
      <c r="G393">
        <v>-86.617000000000004</v>
      </c>
      <c r="H393">
        <v>-5</v>
      </c>
      <c r="I393">
        <v>264</v>
      </c>
      <c r="J393" t="str">
        <f>HYPERLINK("https://climate.onebuilding.org/WMO_Region_4_North_and_Central_America/USA_United_States_of_America/IN_Indiana/USA_IN_Bloomington-Monroe.County.AP.724375_TMY3.zip")</f>
        <v>https://climate.onebuilding.org/WMO_Region_4_North_and_Central_America/USA_United_States_of_America/IN_Indiana/USA_IN_Bloomington-Monroe.County.AP.724375_TMY3.zip</v>
      </c>
    </row>
    <row r="394" spans="1:10" x14ac:dyDescent="0.25">
      <c r="A394" t="s">
        <v>15</v>
      </c>
      <c r="B394" t="s">
        <v>418</v>
      </c>
      <c r="C394" t="s">
        <v>427</v>
      </c>
      <c r="D394">
        <v>725350</v>
      </c>
      <c r="E394" t="s">
        <v>13</v>
      </c>
      <c r="F394">
        <v>41.7</v>
      </c>
      <c r="G394">
        <v>-86.332999999999998</v>
      </c>
      <c r="H394">
        <v>-5</v>
      </c>
      <c r="I394">
        <v>236</v>
      </c>
      <c r="J394" t="str">
        <f>HYPERLINK("https://climate.onebuilding.org/WMO_Region_4_North_and_Central_America/USA_United_States_of_America/IN_Indiana/USA_IN_South.Bend.Intl.AP.725350_TMY3.zip")</f>
        <v>https://climate.onebuilding.org/WMO_Region_4_North_and_Central_America/USA_United_States_of_America/IN_Indiana/USA_IN_South.Bend.Intl.AP.725350_TMY3.zip</v>
      </c>
    </row>
    <row r="395" spans="1:10" x14ac:dyDescent="0.25">
      <c r="A395" t="s">
        <v>15</v>
      </c>
      <c r="B395" t="s">
        <v>418</v>
      </c>
      <c r="C395" t="s">
        <v>428</v>
      </c>
      <c r="D395">
        <v>724373</v>
      </c>
      <c r="E395" t="s">
        <v>13</v>
      </c>
      <c r="F395">
        <v>39.450000000000003</v>
      </c>
      <c r="G395">
        <v>-87.3</v>
      </c>
      <c r="H395">
        <v>-5</v>
      </c>
      <c r="I395">
        <v>175</v>
      </c>
      <c r="J395" t="str">
        <f>HYPERLINK("https://climate.onebuilding.org/WMO_Region_4_North_and_Central_America/USA_United_States_of_America/IN_Indiana/USA_IN_Terre.Haute.Intl.AP-Hulman.Field.ANGB.724373_TMY3.zip")</f>
        <v>https://climate.onebuilding.org/WMO_Region_4_North_and_Central_America/USA_United_States_of_America/IN_Indiana/USA_IN_Terre.Haute.Intl.AP-Hulman.Field.ANGB.724373_TMY3.zip</v>
      </c>
    </row>
    <row r="396" spans="1:10" x14ac:dyDescent="0.25">
      <c r="A396" t="s">
        <v>15</v>
      </c>
      <c r="B396" t="s">
        <v>429</v>
      </c>
      <c r="C396" t="s">
        <v>430</v>
      </c>
      <c r="D396">
        <v>724507</v>
      </c>
      <c r="E396" t="s">
        <v>13</v>
      </c>
      <c r="F396">
        <v>37.667000000000002</v>
      </c>
      <c r="G396">
        <v>-95.483000000000004</v>
      </c>
      <c r="H396">
        <v>-6</v>
      </c>
      <c r="I396">
        <v>298</v>
      </c>
      <c r="J396" t="str">
        <f>HYPERLINK("https://climate.onebuilding.org/WMO_Region_4_North_and_Central_America/USA_United_States_of_America/KS_Kansas/USA_KS_Chanute.Johnson.AP.724507_TMY3.zip")</f>
        <v>https://climate.onebuilding.org/WMO_Region_4_North_and_Central_America/USA_United_States_of_America/KS_Kansas/USA_KS_Chanute.Johnson.AP.724507_TMY3.zip</v>
      </c>
    </row>
    <row r="397" spans="1:10" x14ac:dyDescent="0.25">
      <c r="A397" t="s">
        <v>15</v>
      </c>
      <c r="B397" t="s">
        <v>429</v>
      </c>
      <c r="C397" t="s">
        <v>431</v>
      </c>
      <c r="D397">
        <v>724580</v>
      </c>
      <c r="E397" t="s">
        <v>13</v>
      </c>
      <c r="F397">
        <v>39.549999999999997</v>
      </c>
      <c r="G397">
        <v>-97.65</v>
      </c>
      <c r="H397">
        <v>-6</v>
      </c>
      <c r="I397">
        <v>448</v>
      </c>
      <c r="J397" t="str">
        <f>HYPERLINK("https://climate.onebuilding.org/WMO_Region_4_North_and_Central_America/USA_United_States_of_America/KS_Kansas/USA_KS_Concordia-Blosser.Muni.AP.724580_TMY3.zip")</f>
        <v>https://climate.onebuilding.org/WMO_Region_4_North_and_Central_America/USA_United_States_of_America/KS_Kansas/USA_KS_Concordia-Blosser.Muni.AP.724580_TMY3.zip</v>
      </c>
    </row>
    <row r="398" spans="1:10" x14ac:dyDescent="0.25">
      <c r="A398" t="s">
        <v>15</v>
      </c>
      <c r="B398" t="s">
        <v>429</v>
      </c>
      <c r="C398" t="s">
        <v>432</v>
      </c>
      <c r="D398">
        <v>724510</v>
      </c>
      <c r="E398" t="s">
        <v>13</v>
      </c>
      <c r="F398">
        <v>37.767000000000003</v>
      </c>
      <c r="G398">
        <v>-99.966999999999999</v>
      </c>
      <c r="H398">
        <v>-6</v>
      </c>
      <c r="I398">
        <v>785</v>
      </c>
      <c r="J398" t="str">
        <f>HYPERLINK("https://climate.onebuilding.org/WMO_Region_4_North_and_Central_America/USA_United_States_of_America/KS_Kansas/USA_KS_Dodge.City.Rgnl.AP.724510_TMY3.zip")</f>
        <v>https://climate.onebuilding.org/WMO_Region_4_North_and_Central_America/USA_United_States_of_America/KS_Kansas/USA_KS_Dodge.City.Rgnl.AP.724510_TMY3.zip</v>
      </c>
    </row>
    <row r="399" spans="1:10" x14ac:dyDescent="0.25">
      <c r="A399" t="s">
        <v>15</v>
      </c>
      <c r="B399" t="s">
        <v>429</v>
      </c>
      <c r="C399" t="s">
        <v>433</v>
      </c>
      <c r="D399">
        <v>724556</v>
      </c>
      <c r="E399" t="s">
        <v>13</v>
      </c>
      <c r="F399">
        <v>38.332999999999998</v>
      </c>
      <c r="G399">
        <v>-96.183000000000007</v>
      </c>
      <c r="H399">
        <v>-6</v>
      </c>
      <c r="I399">
        <v>368</v>
      </c>
      <c r="J399" t="str">
        <f>HYPERLINK("https://climate.onebuilding.org/WMO_Region_4_North_and_Central_America/USA_United_States_of_America/KS_Kansas/USA_KS_Emporia.Muni.AP.724556_TMY3.zip")</f>
        <v>https://climate.onebuilding.org/WMO_Region_4_North_and_Central_America/USA_United_States_of_America/KS_Kansas/USA_KS_Emporia.Muni.AP.724556_TMY3.zip</v>
      </c>
    </row>
    <row r="400" spans="1:10" x14ac:dyDescent="0.25">
      <c r="A400" t="s">
        <v>15</v>
      </c>
      <c r="B400" t="s">
        <v>429</v>
      </c>
      <c r="C400" t="s">
        <v>434</v>
      </c>
      <c r="D400">
        <v>724550</v>
      </c>
      <c r="E400" t="s">
        <v>13</v>
      </c>
      <c r="F400">
        <v>39.049999999999997</v>
      </c>
      <c r="G400">
        <v>-96.766999999999996</v>
      </c>
      <c r="H400">
        <v>-6</v>
      </c>
      <c r="I400">
        <v>324</v>
      </c>
      <c r="J400" t="str">
        <f>HYPERLINK("https://climate.onebuilding.org/WMO_Region_4_North_and_Central_America/USA_United_States_of_America/KS_Kansas/USA_KS_Fort.Riley-Marshall.AAF.724550_TMY3.zip")</f>
        <v>https://climate.onebuilding.org/WMO_Region_4_North_and_Central_America/USA_United_States_of_America/KS_Kansas/USA_KS_Fort.Riley-Marshall.AAF.724550_TMY3.zip</v>
      </c>
    </row>
    <row r="401" spans="1:10" x14ac:dyDescent="0.25">
      <c r="A401" t="s">
        <v>15</v>
      </c>
      <c r="B401" t="s">
        <v>429</v>
      </c>
      <c r="C401" t="s">
        <v>435</v>
      </c>
      <c r="D401">
        <v>724515</v>
      </c>
      <c r="E401" t="s">
        <v>13</v>
      </c>
      <c r="F401">
        <v>37.933</v>
      </c>
      <c r="G401">
        <v>-100.717</v>
      </c>
      <c r="H401">
        <v>-6</v>
      </c>
      <c r="I401">
        <v>878</v>
      </c>
      <c r="J401" t="str">
        <f>HYPERLINK("https://climate.onebuilding.org/WMO_Region_4_North_and_Central_America/USA_United_States_of_America/KS_Kansas/USA_KS_Garden.City.Rgnl.AP.724515_TMY3.zip")</f>
        <v>https://climate.onebuilding.org/WMO_Region_4_North_and_Central_America/USA_United_States_of_America/KS_Kansas/USA_KS_Garden.City.Rgnl.AP.724515_TMY3.zip</v>
      </c>
    </row>
    <row r="402" spans="1:10" x14ac:dyDescent="0.25">
      <c r="A402" t="s">
        <v>15</v>
      </c>
      <c r="B402" t="s">
        <v>429</v>
      </c>
      <c r="C402" t="s">
        <v>436</v>
      </c>
      <c r="D402">
        <v>724650</v>
      </c>
      <c r="E402" t="s">
        <v>13</v>
      </c>
      <c r="F402">
        <v>39.366999999999997</v>
      </c>
      <c r="G402">
        <v>-101.7</v>
      </c>
      <c r="H402">
        <v>-7</v>
      </c>
      <c r="I402">
        <v>1111</v>
      </c>
      <c r="J402" t="str">
        <f>HYPERLINK("https://climate.onebuilding.org/WMO_Region_4_North_and_Central_America/USA_United_States_of_America/KS_Kansas/USA_KS_Goodland.Muni.AP-Renner.Field.724650_TMY3.zip")</f>
        <v>https://climate.onebuilding.org/WMO_Region_4_North_and_Central_America/USA_United_States_of_America/KS_Kansas/USA_KS_Goodland.Muni.AP-Renner.Field.724650_TMY3.zip</v>
      </c>
    </row>
    <row r="403" spans="1:10" x14ac:dyDescent="0.25">
      <c r="A403" t="s">
        <v>15</v>
      </c>
      <c r="B403" t="s">
        <v>429</v>
      </c>
      <c r="C403" t="s">
        <v>437</v>
      </c>
      <c r="D403">
        <v>724517</v>
      </c>
      <c r="E403" t="s">
        <v>13</v>
      </c>
      <c r="F403">
        <v>38.35</v>
      </c>
      <c r="G403">
        <v>-98.867000000000004</v>
      </c>
      <c r="H403">
        <v>-6</v>
      </c>
      <c r="I403">
        <v>575</v>
      </c>
      <c r="J403" t="str">
        <f>HYPERLINK("https://climate.onebuilding.org/WMO_Region_4_North_and_Central_America/USA_United_States_of_America/KS_Kansas/USA_KS_Great.Bend.Muni.AP.724517_TMY3.zip")</f>
        <v>https://climate.onebuilding.org/WMO_Region_4_North_and_Central_America/USA_United_States_of_America/KS_Kansas/USA_KS_Great.Bend.Muni.AP.724517_TMY3.zip</v>
      </c>
    </row>
    <row r="404" spans="1:10" x14ac:dyDescent="0.25">
      <c r="A404" t="s">
        <v>15</v>
      </c>
      <c r="B404" t="s">
        <v>429</v>
      </c>
      <c r="C404" t="s">
        <v>438</v>
      </c>
      <c r="D404">
        <v>724518</v>
      </c>
      <c r="E404" t="s">
        <v>13</v>
      </c>
      <c r="F404">
        <v>38.85</v>
      </c>
      <c r="G404">
        <v>-99.266999999999996</v>
      </c>
      <c r="H404">
        <v>-6</v>
      </c>
      <c r="I404">
        <v>609</v>
      </c>
      <c r="J404" t="str">
        <f>HYPERLINK("https://climate.onebuilding.org/WMO_Region_4_North_and_Central_America/USA_United_States_of_America/KS_Kansas/USA_KS_Hays.Rgnl.AP.724518_TMY3.zip")</f>
        <v>https://climate.onebuilding.org/WMO_Region_4_North_and_Central_America/USA_United_States_of_America/KS_Kansas/USA_KS_Hays.Rgnl.AP.724518_TMY3.zip</v>
      </c>
    </row>
    <row r="405" spans="1:10" x14ac:dyDescent="0.25">
      <c r="A405" t="s">
        <v>15</v>
      </c>
      <c r="B405" t="s">
        <v>429</v>
      </c>
      <c r="C405" t="s">
        <v>439</v>
      </c>
      <c r="D405">
        <v>724655</v>
      </c>
      <c r="E405" t="s">
        <v>13</v>
      </c>
      <c r="F405">
        <v>39.383000000000003</v>
      </c>
      <c r="G405">
        <v>-99.832999999999998</v>
      </c>
      <c r="H405">
        <v>-6</v>
      </c>
      <c r="I405">
        <v>667</v>
      </c>
      <c r="J405" t="str">
        <f>HYPERLINK("https://climate.onebuilding.org/WMO_Region_4_North_and_Central_America/USA_United_States_of_America/KS_Kansas/USA_KS_Hill.City.Muni.AP.724655_TMY3.zip")</f>
        <v>https://climate.onebuilding.org/WMO_Region_4_North_and_Central_America/USA_United_States_of_America/KS_Kansas/USA_KS_Hill.City.Muni.AP.724655_TMY3.zip</v>
      </c>
    </row>
    <row r="406" spans="1:10" x14ac:dyDescent="0.25">
      <c r="A406" t="s">
        <v>15</v>
      </c>
      <c r="B406" t="s">
        <v>429</v>
      </c>
      <c r="C406" t="s">
        <v>440</v>
      </c>
      <c r="D406">
        <v>724506</v>
      </c>
      <c r="E406" t="s">
        <v>13</v>
      </c>
      <c r="F406">
        <v>38.067</v>
      </c>
      <c r="G406">
        <v>-97.867000000000004</v>
      </c>
      <c r="H406">
        <v>-6</v>
      </c>
      <c r="I406">
        <v>463</v>
      </c>
      <c r="J406" t="str">
        <f>HYPERLINK("https://climate.onebuilding.org/WMO_Region_4_North_and_Central_America/USA_United_States_of_America/KS_Kansas/USA_KS_Hutchinson.Muni.AP.724506_TMY3.zip")</f>
        <v>https://climate.onebuilding.org/WMO_Region_4_North_and_Central_America/USA_United_States_of_America/KS_Kansas/USA_KS_Hutchinson.Muni.AP.724506_TMY3.zip</v>
      </c>
    </row>
    <row r="407" spans="1:10" x14ac:dyDescent="0.25">
      <c r="A407" t="s">
        <v>15</v>
      </c>
      <c r="B407" t="s">
        <v>429</v>
      </c>
      <c r="C407" t="s">
        <v>441</v>
      </c>
      <c r="D407">
        <v>724516</v>
      </c>
      <c r="E407" t="s">
        <v>13</v>
      </c>
      <c r="F407">
        <v>37.033000000000001</v>
      </c>
      <c r="G407">
        <v>-100.967</v>
      </c>
      <c r="H407">
        <v>-6</v>
      </c>
      <c r="I407">
        <v>901</v>
      </c>
      <c r="J407" t="str">
        <f>HYPERLINK("https://climate.onebuilding.org/WMO_Region_4_North_and_Central_America/USA_United_States_of_America/KS_Kansas/USA_KS_Liberal.Mid-America.Rgnl.AP.724516_TMY3.zip")</f>
        <v>https://climate.onebuilding.org/WMO_Region_4_North_and_Central_America/USA_United_States_of_America/KS_Kansas/USA_KS_Liberal.Mid-America.Rgnl.AP.724516_TMY3.zip</v>
      </c>
    </row>
    <row r="408" spans="1:10" x14ac:dyDescent="0.25">
      <c r="A408" t="s">
        <v>15</v>
      </c>
      <c r="B408" t="s">
        <v>429</v>
      </c>
      <c r="C408" t="s">
        <v>442</v>
      </c>
      <c r="D408">
        <v>724555</v>
      </c>
      <c r="E408" t="s">
        <v>13</v>
      </c>
      <c r="F408">
        <v>39.133000000000003</v>
      </c>
      <c r="G408">
        <v>-96.667000000000002</v>
      </c>
      <c r="H408">
        <v>-6</v>
      </c>
      <c r="I408">
        <v>330</v>
      </c>
      <c r="J408" t="str">
        <f>HYPERLINK("https://climate.onebuilding.org/WMO_Region_4_North_and_Central_America/USA_United_States_of_America/KS_Kansas/USA_KS_Manhattan.Rgnl.AP.724555_TMY3.zip")</f>
        <v>https://climate.onebuilding.org/WMO_Region_4_North_and_Central_America/USA_United_States_of_America/KS_Kansas/USA_KS_Manhattan.Rgnl.AP.724555_TMY3.zip</v>
      </c>
    </row>
    <row r="409" spans="1:10" x14ac:dyDescent="0.25">
      <c r="A409" t="s">
        <v>15</v>
      </c>
      <c r="B409" t="s">
        <v>429</v>
      </c>
      <c r="C409" t="s">
        <v>443</v>
      </c>
      <c r="D409">
        <v>724509</v>
      </c>
      <c r="E409" t="s">
        <v>13</v>
      </c>
      <c r="F409">
        <v>38.049999999999997</v>
      </c>
      <c r="G409">
        <v>-97.283000000000001</v>
      </c>
      <c r="H409">
        <v>-6</v>
      </c>
      <c r="I409">
        <v>467</v>
      </c>
      <c r="J409" t="str">
        <f>HYPERLINK("https://climate.onebuilding.org/WMO_Region_4_North_and_Central_America/USA_United_States_of_America/KS_Kansas/USA_KS_Newton.City-County.AP.724509_TMY3.zip")</f>
        <v>https://climate.onebuilding.org/WMO_Region_4_North_and_Central_America/USA_United_States_of_America/KS_Kansas/USA_KS_Newton.City-County.AP.724509_TMY3.zip</v>
      </c>
    </row>
    <row r="410" spans="1:10" x14ac:dyDescent="0.25">
      <c r="A410" t="s">
        <v>15</v>
      </c>
      <c r="B410" t="s">
        <v>429</v>
      </c>
      <c r="C410" t="s">
        <v>444</v>
      </c>
      <c r="D410">
        <v>724468</v>
      </c>
      <c r="E410" t="s">
        <v>13</v>
      </c>
      <c r="F410">
        <v>38.85</v>
      </c>
      <c r="G410">
        <v>-94.733000000000004</v>
      </c>
      <c r="H410">
        <v>-6</v>
      </c>
      <c r="I410">
        <v>334</v>
      </c>
      <c r="J410" t="str">
        <f>HYPERLINK("https://climate.onebuilding.org/WMO_Region_4_North_and_Central_America/USA_United_States_of_America/KS_Kansas/USA_KS_Olathe-Johnson.County.Exec.AP.724468_TMY3.zip")</f>
        <v>https://climate.onebuilding.org/WMO_Region_4_North_and_Central_America/USA_United_States_of_America/KS_Kansas/USA_KS_Olathe-Johnson.County.Exec.AP.724468_TMY3.zip</v>
      </c>
    </row>
    <row r="411" spans="1:10" x14ac:dyDescent="0.25">
      <c r="A411" t="s">
        <v>15</v>
      </c>
      <c r="B411" t="s">
        <v>429</v>
      </c>
      <c r="C411" t="s">
        <v>445</v>
      </c>
      <c r="D411">
        <v>724475</v>
      </c>
      <c r="E411" t="s">
        <v>13</v>
      </c>
      <c r="F411">
        <v>38.832999999999998</v>
      </c>
      <c r="G411">
        <v>-94.882999999999996</v>
      </c>
      <c r="H411">
        <v>-6</v>
      </c>
      <c r="I411">
        <v>331</v>
      </c>
      <c r="J411" t="str">
        <f>HYPERLINK("https://climate.onebuilding.org/WMO_Region_4_North_and_Central_America/USA_United_States_of_America/KS_Kansas/USA_KS_Olathe-New.Century.AirCenter.724475_TMY3.zip")</f>
        <v>https://climate.onebuilding.org/WMO_Region_4_North_and_Central_America/USA_United_States_of_America/KS_Kansas/USA_KS_Olathe-New.Century.AirCenter.724475_TMY3.zip</v>
      </c>
    </row>
    <row r="412" spans="1:10" x14ac:dyDescent="0.25">
      <c r="A412" t="s">
        <v>15</v>
      </c>
      <c r="B412" t="s">
        <v>429</v>
      </c>
      <c r="C412" t="s">
        <v>446</v>
      </c>
      <c r="D412">
        <v>724585</v>
      </c>
      <c r="E412" t="s">
        <v>13</v>
      </c>
      <c r="F412">
        <v>38.883000000000003</v>
      </c>
      <c r="G412">
        <v>-98.816999999999993</v>
      </c>
      <c r="H412">
        <v>-6</v>
      </c>
      <c r="I412">
        <v>566</v>
      </c>
      <c r="J412" t="str">
        <f>HYPERLINK("https://climate.onebuilding.org/WMO_Region_4_North_and_Central_America/USA_United_States_of_America/KS_Kansas/USA_KS_Russell.Muni.AP.724585_TMY3.zip")</f>
        <v>https://climate.onebuilding.org/WMO_Region_4_North_and_Central_America/USA_United_States_of_America/KS_Kansas/USA_KS_Russell.Muni.AP.724585_TMY3.zip</v>
      </c>
    </row>
    <row r="413" spans="1:10" x14ac:dyDescent="0.25">
      <c r="A413" t="s">
        <v>15</v>
      </c>
      <c r="B413" t="s">
        <v>429</v>
      </c>
      <c r="C413" t="s">
        <v>447</v>
      </c>
      <c r="D413">
        <v>724586</v>
      </c>
      <c r="E413" t="s">
        <v>13</v>
      </c>
      <c r="F413">
        <v>38.817</v>
      </c>
      <c r="G413">
        <v>-97.667000000000002</v>
      </c>
      <c r="H413">
        <v>-6</v>
      </c>
      <c r="I413">
        <v>385</v>
      </c>
      <c r="J413" t="str">
        <f>HYPERLINK("https://climate.onebuilding.org/WMO_Region_4_North_and_Central_America/USA_United_States_of_America/KS_Kansas/USA_KS_Salina.Rgnl.AP.724586_TMY3.zip")</f>
        <v>https://climate.onebuilding.org/WMO_Region_4_North_and_Central_America/USA_United_States_of_America/KS_Kansas/USA_KS_Salina.Rgnl.AP.724586_TMY3.zip</v>
      </c>
    </row>
    <row r="414" spans="1:10" x14ac:dyDescent="0.25">
      <c r="A414" t="s">
        <v>15</v>
      </c>
      <c r="B414" t="s">
        <v>429</v>
      </c>
      <c r="C414" t="s">
        <v>448</v>
      </c>
      <c r="D414">
        <v>724565</v>
      </c>
      <c r="E414" t="s">
        <v>13</v>
      </c>
      <c r="F414">
        <v>38.950000000000003</v>
      </c>
      <c r="G414">
        <v>-95.667000000000002</v>
      </c>
      <c r="H414">
        <v>-6</v>
      </c>
      <c r="I414">
        <v>325</v>
      </c>
      <c r="J414" t="str">
        <f>HYPERLINK("https://climate.onebuilding.org/WMO_Region_4_North_and_Central_America/USA_United_States_of_America/KS_Kansas/USA_KS_Topeka-Forbes.Field.ANGB.724565_TMY3.zip")</f>
        <v>https://climate.onebuilding.org/WMO_Region_4_North_and_Central_America/USA_United_States_of_America/KS_Kansas/USA_KS_Topeka-Forbes.Field.ANGB.724565_TMY3.zip</v>
      </c>
    </row>
    <row r="415" spans="1:10" x14ac:dyDescent="0.25">
      <c r="A415" t="s">
        <v>15</v>
      </c>
      <c r="B415" t="s">
        <v>429</v>
      </c>
      <c r="C415" t="s">
        <v>449</v>
      </c>
      <c r="D415">
        <v>724560</v>
      </c>
      <c r="E415" t="s">
        <v>13</v>
      </c>
      <c r="F415">
        <v>39.067</v>
      </c>
      <c r="G415">
        <v>-95.632999999999996</v>
      </c>
      <c r="H415">
        <v>-6</v>
      </c>
      <c r="I415">
        <v>269</v>
      </c>
      <c r="J415" t="str">
        <f>HYPERLINK("https://climate.onebuilding.org/WMO_Region_4_North_and_Central_America/USA_United_States_of_America/KS_Kansas/USA_KS_Topeka-Billard.Muni.AP.724560_TMY3.zip")</f>
        <v>https://climate.onebuilding.org/WMO_Region_4_North_and_Central_America/USA_United_States_of_America/KS_Kansas/USA_KS_Topeka-Billard.Muni.AP.724560_TMY3.zip</v>
      </c>
    </row>
    <row r="416" spans="1:10" x14ac:dyDescent="0.25">
      <c r="A416" t="s">
        <v>15</v>
      </c>
      <c r="B416" t="s">
        <v>429</v>
      </c>
      <c r="C416" t="s">
        <v>450</v>
      </c>
      <c r="D416">
        <v>724504</v>
      </c>
      <c r="E416" t="s">
        <v>13</v>
      </c>
      <c r="F416">
        <v>37.75</v>
      </c>
      <c r="G416">
        <v>-97.216999999999999</v>
      </c>
      <c r="H416">
        <v>-6</v>
      </c>
      <c r="I416">
        <v>433</v>
      </c>
      <c r="J416" t="str">
        <f>HYPERLINK("https://climate.onebuilding.org/WMO_Region_4_North_and_Central_America/USA_United_States_of_America/KS_Kansas/USA_KS_Wichita-Jabara.AP.724504_TMY3.zip")</f>
        <v>https://climate.onebuilding.org/WMO_Region_4_North_and_Central_America/USA_United_States_of_America/KS_Kansas/USA_KS_Wichita-Jabara.AP.724504_TMY3.zip</v>
      </c>
    </row>
    <row r="417" spans="1:10" x14ac:dyDescent="0.25">
      <c r="A417" t="s">
        <v>15</v>
      </c>
      <c r="B417" t="s">
        <v>429</v>
      </c>
      <c r="C417" t="s">
        <v>451</v>
      </c>
      <c r="D417">
        <v>724505</v>
      </c>
      <c r="E417" t="s">
        <v>13</v>
      </c>
      <c r="F417">
        <v>37.616999999999997</v>
      </c>
      <c r="G417">
        <v>-97.266999999999996</v>
      </c>
      <c r="H417">
        <v>-6</v>
      </c>
      <c r="I417">
        <v>414</v>
      </c>
      <c r="J417" t="str">
        <f>HYPERLINK("https://climate.onebuilding.org/WMO_Region_4_North_and_Central_America/USA_United_States_of_America/KS_Kansas/USA_KS_Wichita-McConnell.AFB.724505_TMY3.zip")</f>
        <v>https://climate.onebuilding.org/WMO_Region_4_North_and_Central_America/USA_United_States_of_America/KS_Kansas/USA_KS_Wichita-McConnell.AFB.724505_TMY3.zip</v>
      </c>
    </row>
    <row r="418" spans="1:10" x14ac:dyDescent="0.25">
      <c r="A418" t="s">
        <v>15</v>
      </c>
      <c r="B418" t="s">
        <v>429</v>
      </c>
      <c r="C418" t="s">
        <v>452</v>
      </c>
      <c r="D418">
        <v>724500</v>
      </c>
      <c r="E418" t="s">
        <v>13</v>
      </c>
      <c r="F418">
        <v>37.65</v>
      </c>
      <c r="G418">
        <v>-97.433000000000007</v>
      </c>
      <c r="H418">
        <v>-6</v>
      </c>
      <c r="I418">
        <v>402</v>
      </c>
      <c r="J418" t="str">
        <f>HYPERLINK("https://climate.onebuilding.org/WMO_Region_4_North_and_Central_America/USA_United_States_of_America/KS_Kansas/USA_KS_Wichita.Eisenhower.Natl.AP.724500_TMY3.zip")</f>
        <v>https://climate.onebuilding.org/WMO_Region_4_North_and_Central_America/USA_United_States_of_America/KS_Kansas/USA_KS_Wichita.Eisenhower.Natl.AP.724500_TMY3.zip</v>
      </c>
    </row>
    <row r="419" spans="1:10" x14ac:dyDescent="0.25">
      <c r="A419" t="s">
        <v>15</v>
      </c>
      <c r="B419" t="s">
        <v>453</v>
      </c>
      <c r="C419" t="s">
        <v>454</v>
      </c>
      <c r="D419">
        <v>746716</v>
      </c>
      <c r="E419" t="s">
        <v>13</v>
      </c>
      <c r="F419">
        <v>36.982999999999997</v>
      </c>
      <c r="G419">
        <v>-86.433000000000007</v>
      </c>
      <c r="H419">
        <v>-6</v>
      </c>
      <c r="I419">
        <v>161</v>
      </c>
      <c r="J419" t="str">
        <f>HYPERLINK("https://climate.onebuilding.org/WMO_Region_4_North_and_Central_America/USA_United_States_of_America/KY_Kentucky/USA_KY_Bowling.Green-Warren.County.Rgnl.AP.746716_TMY3.zip")</f>
        <v>https://climate.onebuilding.org/WMO_Region_4_North_and_Central_America/USA_United_States_of_America/KY_Kentucky/USA_KY_Bowling.Green-Warren.County.Rgnl.AP.746716_TMY3.zip</v>
      </c>
    </row>
    <row r="420" spans="1:10" x14ac:dyDescent="0.25">
      <c r="A420" t="s">
        <v>15</v>
      </c>
      <c r="B420" t="s">
        <v>453</v>
      </c>
      <c r="C420" t="s">
        <v>455</v>
      </c>
      <c r="D420">
        <v>724210</v>
      </c>
      <c r="E420" t="s">
        <v>13</v>
      </c>
      <c r="F420">
        <v>39.049999999999997</v>
      </c>
      <c r="G420">
        <v>-84.667000000000002</v>
      </c>
      <c r="H420">
        <v>-5</v>
      </c>
      <c r="I420">
        <v>265</v>
      </c>
      <c r="J420" t="str">
        <f>HYPERLINK("https://climate.onebuilding.org/WMO_Region_4_North_and_Central_America/USA_United_States_of_America/KY_Kentucky/USA_KY_Cincinnati-Northern.Kentucky.Intl.AP.724210_TMY3.zip")</f>
        <v>https://climate.onebuilding.org/WMO_Region_4_North_and_Central_America/USA_United_States_of_America/KY_Kentucky/USA_KY_Cincinnati-Northern.Kentucky.Intl.AP.724210_TMY3.zip</v>
      </c>
    </row>
    <row r="421" spans="1:10" x14ac:dyDescent="0.25">
      <c r="A421" t="s">
        <v>15</v>
      </c>
      <c r="B421" t="s">
        <v>453</v>
      </c>
      <c r="C421" t="s">
        <v>456</v>
      </c>
      <c r="D421">
        <v>746710</v>
      </c>
      <c r="E421" t="s">
        <v>13</v>
      </c>
      <c r="F421">
        <v>36.667000000000002</v>
      </c>
      <c r="G421">
        <v>-87.483000000000004</v>
      </c>
      <c r="H421">
        <v>-6</v>
      </c>
      <c r="I421">
        <v>173</v>
      </c>
      <c r="J421" t="str">
        <f>HYPERLINK("https://climate.onebuilding.org/WMO_Region_4_North_and_Central_America/USA_United_States_of_America/KY_Kentucky/USA_KY_Fort.Campbell-Campbell.AAF.746710_TMY3.zip")</f>
        <v>https://climate.onebuilding.org/WMO_Region_4_North_and_Central_America/USA_United_States_of_America/KY_Kentucky/USA_KY_Fort.Campbell-Campbell.AAF.746710_TMY3.zip</v>
      </c>
    </row>
    <row r="422" spans="1:10" x14ac:dyDescent="0.25">
      <c r="A422" t="s">
        <v>15</v>
      </c>
      <c r="B422" t="s">
        <v>453</v>
      </c>
      <c r="C422" t="s">
        <v>457</v>
      </c>
      <c r="D422">
        <v>724240</v>
      </c>
      <c r="E422" t="s">
        <v>13</v>
      </c>
      <c r="F422">
        <v>37.9</v>
      </c>
      <c r="G422">
        <v>-85.966999999999999</v>
      </c>
      <c r="H422">
        <v>-5</v>
      </c>
      <c r="I422">
        <v>239</v>
      </c>
      <c r="J422" t="str">
        <f>HYPERLINK("https://climate.onebuilding.org/WMO_Region_4_North_and_Central_America/USA_United_States_of_America/KY_Kentucky/USA_KY_Fort.Knox-Godman.AAF.724240_TMY3.zip")</f>
        <v>https://climate.onebuilding.org/WMO_Region_4_North_and_Central_America/USA_United_States_of_America/KY_Kentucky/USA_KY_Fort.Knox-Godman.AAF.724240_TMY3.zip</v>
      </c>
    </row>
    <row r="423" spans="1:10" x14ac:dyDescent="0.25">
      <c r="A423" t="s">
        <v>15</v>
      </c>
      <c r="B423" t="s">
        <v>453</v>
      </c>
      <c r="C423" t="s">
        <v>458</v>
      </c>
      <c r="D423">
        <v>724238</v>
      </c>
      <c r="E423" t="s">
        <v>13</v>
      </c>
      <c r="F423">
        <v>37.817</v>
      </c>
      <c r="G423">
        <v>-87.683000000000007</v>
      </c>
      <c r="H423">
        <v>-6</v>
      </c>
      <c r="I423">
        <v>117</v>
      </c>
      <c r="J423" t="str">
        <f>HYPERLINK("https://climate.onebuilding.org/WMO_Region_4_North_and_Central_America/USA_United_States_of_America/KY_Kentucky/USA_KY_Henderson.City-County.AP.724238_TMY3.zip")</f>
        <v>https://climate.onebuilding.org/WMO_Region_4_North_and_Central_America/USA_United_States_of_America/KY_Kentucky/USA_KY_Henderson.City-County.AP.724238_TMY3.zip</v>
      </c>
    </row>
    <row r="424" spans="1:10" x14ac:dyDescent="0.25">
      <c r="A424" t="s">
        <v>15</v>
      </c>
      <c r="B424" t="s">
        <v>453</v>
      </c>
      <c r="C424" t="s">
        <v>459</v>
      </c>
      <c r="D424">
        <v>724190</v>
      </c>
      <c r="E424" t="s">
        <v>13</v>
      </c>
      <c r="F424">
        <v>37.582999999999998</v>
      </c>
      <c r="G424">
        <v>-83.316999999999993</v>
      </c>
      <c r="H424">
        <v>-5</v>
      </c>
      <c r="I424">
        <v>416</v>
      </c>
      <c r="J424" t="str">
        <f>HYPERLINK("https://climate.onebuilding.org/WMO_Region_4_North_and_Central_America/USA_United_States_of_America/KY_Kentucky/USA_KY_Jackson-Carroll.AP.724190_TMY3.zip")</f>
        <v>https://climate.onebuilding.org/WMO_Region_4_North_and_Central_America/USA_United_States_of_America/KY_Kentucky/USA_KY_Jackson-Carroll.AP.724190_TMY3.zip</v>
      </c>
    </row>
    <row r="425" spans="1:10" x14ac:dyDescent="0.25">
      <c r="A425" t="s">
        <v>15</v>
      </c>
      <c r="B425" t="s">
        <v>453</v>
      </c>
      <c r="C425" t="s">
        <v>460</v>
      </c>
      <c r="D425">
        <v>724220</v>
      </c>
      <c r="E425" t="s">
        <v>13</v>
      </c>
      <c r="F425">
        <v>38.033000000000001</v>
      </c>
      <c r="G425">
        <v>-84.6</v>
      </c>
      <c r="H425">
        <v>-5</v>
      </c>
      <c r="I425">
        <v>294</v>
      </c>
      <c r="J425" t="str">
        <f>HYPERLINK("https://climate.onebuilding.org/WMO_Region_4_North_and_Central_America/USA_United_States_of_America/KY_Kentucky/USA_KY_Lexington-Blue.Grass.AP.724220_TMY3.zip")</f>
        <v>https://climate.onebuilding.org/WMO_Region_4_North_and_Central_America/USA_United_States_of_America/KY_Kentucky/USA_KY_Lexington-Blue.Grass.AP.724220_TMY3.zip</v>
      </c>
    </row>
    <row r="426" spans="1:10" x14ac:dyDescent="0.25">
      <c r="A426" t="s">
        <v>15</v>
      </c>
      <c r="B426" t="s">
        <v>453</v>
      </c>
      <c r="C426" t="s">
        <v>461</v>
      </c>
      <c r="D426">
        <v>724243</v>
      </c>
      <c r="E426" t="s">
        <v>13</v>
      </c>
      <c r="F426">
        <v>37.082999999999998</v>
      </c>
      <c r="G426">
        <v>-84.082999999999998</v>
      </c>
      <c r="H426">
        <v>-5</v>
      </c>
      <c r="I426">
        <v>362</v>
      </c>
      <c r="J426" t="str">
        <f>HYPERLINK("https://climate.onebuilding.org/WMO_Region_4_North_and_Central_America/USA_United_States_of_America/KY_Kentucky/USA_KY_London-Corbin.AP-Magee.Field.724243_TMY3.zip")</f>
        <v>https://climate.onebuilding.org/WMO_Region_4_North_and_Central_America/USA_United_States_of_America/KY_Kentucky/USA_KY_London-Corbin.AP-Magee.Field.724243_TMY3.zip</v>
      </c>
    </row>
    <row r="427" spans="1:10" x14ac:dyDescent="0.25">
      <c r="A427" t="s">
        <v>15</v>
      </c>
      <c r="B427" t="s">
        <v>453</v>
      </c>
      <c r="C427" t="s">
        <v>462</v>
      </c>
      <c r="D427">
        <v>724235</v>
      </c>
      <c r="E427" t="s">
        <v>13</v>
      </c>
      <c r="F427">
        <v>38.232999999999997</v>
      </c>
      <c r="G427">
        <v>-85.667000000000002</v>
      </c>
      <c r="H427">
        <v>-5</v>
      </c>
      <c r="I427">
        <v>165</v>
      </c>
      <c r="J427" t="str">
        <f>HYPERLINK("https://climate.onebuilding.org/WMO_Region_4_North_and_Central_America/USA_United_States_of_America/KY_Kentucky/USA_KY_Louisville-Bowman.Field.AP.724235_TMY3.zip")</f>
        <v>https://climate.onebuilding.org/WMO_Region_4_North_and_Central_America/USA_United_States_of_America/KY_Kentucky/USA_KY_Louisville-Bowman.Field.AP.724235_TMY3.zip</v>
      </c>
    </row>
    <row r="428" spans="1:10" x14ac:dyDescent="0.25">
      <c r="A428" t="s">
        <v>15</v>
      </c>
      <c r="B428" t="s">
        <v>453</v>
      </c>
      <c r="C428" t="s">
        <v>463</v>
      </c>
      <c r="D428">
        <v>724230</v>
      </c>
      <c r="E428" t="s">
        <v>13</v>
      </c>
      <c r="F428">
        <v>38.183</v>
      </c>
      <c r="G428">
        <v>-85.733000000000004</v>
      </c>
      <c r="H428">
        <v>-5</v>
      </c>
      <c r="I428">
        <v>147</v>
      </c>
      <c r="J428" t="str">
        <f>HYPERLINK("https://climate.onebuilding.org/WMO_Region_4_North_and_Central_America/USA_United_States_of_America/KY_Kentucky/USA_KY_Louisville.Intl.AP.724230_TMY3.zip")</f>
        <v>https://climate.onebuilding.org/WMO_Region_4_North_and_Central_America/USA_United_States_of_America/KY_Kentucky/USA_KY_Louisville.Intl.AP.724230_TMY3.zip</v>
      </c>
    </row>
    <row r="429" spans="1:10" x14ac:dyDescent="0.25">
      <c r="A429" t="s">
        <v>15</v>
      </c>
      <c r="B429" t="s">
        <v>453</v>
      </c>
      <c r="C429" t="s">
        <v>464</v>
      </c>
      <c r="D429">
        <v>724350</v>
      </c>
      <c r="E429" t="s">
        <v>13</v>
      </c>
      <c r="F429">
        <v>37.049999999999997</v>
      </c>
      <c r="G429">
        <v>-88.766999999999996</v>
      </c>
      <c r="H429">
        <v>-6</v>
      </c>
      <c r="I429">
        <v>124</v>
      </c>
      <c r="J429" t="str">
        <f>HYPERLINK("https://climate.onebuilding.org/WMO_Region_4_North_and_Central_America/USA_United_States_of_America/KY_Kentucky/USA_KY_Paducah-Barkley.Rgnl.AP.724350_TMY3.zip")</f>
        <v>https://climate.onebuilding.org/WMO_Region_4_North_and_Central_America/USA_United_States_of_America/KY_Kentucky/USA_KY_Paducah-Barkley.Rgnl.AP.724350_TMY3.zip</v>
      </c>
    </row>
    <row r="430" spans="1:10" x14ac:dyDescent="0.25">
      <c r="A430" t="s">
        <v>15</v>
      </c>
      <c r="B430" t="s">
        <v>453</v>
      </c>
      <c r="C430" t="s">
        <v>465</v>
      </c>
      <c r="D430">
        <v>724354</v>
      </c>
      <c r="E430" t="s">
        <v>13</v>
      </c>
      <c r="F430">
        <v>37.049999999999997</v>
      </c>
      <c r="G430">
        <v>-84.6</v>
      </c>
      <c r="H430">
        <v>-5</v>
      </c>
      <c r="I430">
        <v>283</v>
      </c>
      <c r="J430" t="str">
        <f>HYPERLINK("https://climate.onebuilding.org/WMO_Region_4_North_and_Central_America/USA_United_States_of_America/KY_Kentucky/USA_KY_Somerset-Lake.Cumberland.Rgnl.AP.724354_TMY3.zip")</f>
        <v>https://climate.onebuilding.org/WMO_Region_4_North_and_Central_America/USA_United_States_of_America/KY_Kentucky/USA_KY_Somerset-Lake.Cumberland.Rgnl.AP.724354_TMY3.zip</v>
      </c>
    </row>
    <row r="431" spans="1:10" x14ac:dyDescent="0.25">
      <c r="A431" t="s">
        <v>15</v>
      </c>
      <c r="B431" t="s">
        <v>466</v>
      </c>
      <c r="C431" t="s">
        <v>467</v>
      </c>
      <c r="D431">
        <v>747540</v>
      </c>
      <c r="E431" t="s">
        <v>13</v>
      </c>
      <c r="F431">
        <v>31.317</v>
      </c>
      <c r="G431">
        <v>-92.55</v>
      </c>
      <c r="H431">
        <v>-6</v>
      </c>
      <c r="I431">
        <v>27</v>
      </c>
      <c r="J431" t="str">
        <f>HYPERLINK("https://climate.onebuilding.org/WMO_Region_4_North_and_Central_America/USA_United_States_of_America/LA_Louisiana/USA_LA_Alexandria.Intl.AP.747540_TMY3.zip")</f>
        <v>https://climate.onebuilding.org/WMO_Region_4_North_and_Central_America/USA_United_States_of_America/LA_Louisiana/USA_LA_Alexandria.Intl.AP.747540_TMY3.zip</v>
      </c>
    </row>
    <row r="432" spans="1:10" x14ac:dyDescent="0.25">
      <c r="A432" t="s">
        <v>15</v>
      </c>
      <c r="B432" t="s">
        <v>466</v>
      </c>
      <c r="C432" t="s">
        <v>468</v>
      </c>
      <c r="D432">
        <v>722487</v>
      </c>
      <c r="E432" t="s">
        <v>13</v>
      </c>
      <c r="F432">
        <v>31.4</v>
      </c>
      <c r="G432">
        <v>-92.3</v>
      </c>
      <c r="H432">
        <v>-6</v>
      </c>
      <c r="I432">
        <v>34</v>
      </c>
      <c r="J432" t="str">
        <f>HYPERLINK("https://climate.onebuilding.org/WMO_Region_4_North_and_Central_America/USA_United_States_of_America/LA_Louisiana/USA_LA_Alexandria-Esler.Rgnl.AP.722487_TMY3.zip")</f>
        <v>https://climate.onebuilding.org/WMO_Region_4_North_and_Central_America/USA_United_States_of_America/LA_Louisiana/USA_LA_Alexandria-Esler.Rgnl.AP.722487_TMY3.zip</v>
      </c>
    </row>
    <row r="433" spans="1:10" x14ac:dyDescent="0.25">
      <c r="A433" t="s">
        <v>15</v>
      </c>
      <c r="B433" t="s">
        <v>466</v>
      </c>
      <c r="C433" t="s">
        <v>469</v>
      </c>
      <c r="D433">
        <v>722485</v>
      </c>
      <c r="E433" t="s">
        <v>13</v>
      </c>
      <c r="F433">
        <v>32.5</v>
      </c>
      <c r="G433">
        <v>-93.667000000000002</v>
      </c>
      <c r="H433">
        <v>-6</v>
      </c>
      <c r="I433">
        <v>54</v>
      </c>
      <c r="J433" t="str">
        <f>HYPERLINK("https://climate.onebuilding.org/WMO_Region_4_North_and_Central_America/USA_United_States_of_America/LA_Louisiana/USA_LA_Shreveport-Bossier.City-Barksdale.AFB.722485_TMY3.zip")</f>
        <v>https://climate.onebuilding.org/WMO_Region_4_North_and_Central_America/USA_United_States_of_America/LA_Louisiana/USA_LA_Shreveport-Bossier.City-Barksdale.AFB.722485_TMY3.zip</v>
      </c>
    </row>
    <row r="434" spans="1:10" x14ac:dyDescent="0.25">
      <c r="A434" t="s">
        <v>15</v>
      </c>
      <c r="B434" t="s">
        <v>466</v>
      </c>
      <c r="C434" t="s">
        <v>470</v>
      </c>
      <c r="D434">
        <v>722320</v>
      </c>
      <c r="E434" t="s">
        <v>13</v>
      </c>
      <c r="F434">
        <v>30.533000000000001</v>
      </c>
      <c r="G434">
        <v>-91.15</v>
      </c>
      <c r="H434">
        <v>-6</v>
      </c>
      <c r="I434">
        <v>20</v>
      </c>
      <c r="J434" t="str">
        <f>HYPERLINK("https://climate.onebuilding.org/WMO_Region_4_North_and_Central_America/USA_United_States_of_America/LA_Louisiana/USA_LA_Baton.Rouge.Metro.AP.722320_TMY3.zip")</f>
        <v>https://climate.onebuilding.org/WMO_Region_4_North_and_Central_America/USA_United_States_of_America/LA_Louisiana/USA_LA_Baton.Rouge.Metro.AP.722320_TMY3.zip</v>
      </c>
    </row>
    <row r="435" spans="1:10" x14ac:dyDescent="0.25">
      <c r="A435" t="s">
        <v>15</v>
      </c>
      <c r="B435" t="s">
        <v>466</v>
      </c>
      <c r="C435" t="s">
        <v>471</v>
      </c>
      <c r="D435">
        <v>722390</v>
      </c>
      <c r="E435" t="s">
        <v>13</v>
      </c>
      <c r="F435">
        <v>31.05</v>
      </c>
      <c r="G435">
        <v>-93.183000000000007</v>
      </c>
      <c r="H435">
        <v>-6</v>
      </c>
      <c r="I435">
        <v>102</v>
      </c>
      <c r="J435" t="str">
        <f>HYPERLINK("https://climate.onebuilding.org/WMO_Region_4_North_and_Central_America/USA_United_States_of_America/LA_Louisiana/USA_LA_Fort.Polk-Polk.AAF.722390_TMY3.zip")</f>
        <v>https://climate.onebuilding.org/WMO_Region_4_North_and_Central_America/USA_United_States_of_America/LA_Louisiana/USA_LA_Fort.Polk-Polk.AAF.722390_TMY3.zip</v>
      </c>
    </row>
    <row r="436" spans="1:10" x14ac:dyDescent="0.25">
      <c r="A436" t="s">
        <v>15</v>
      </c>
      <c r="B436" t="s">
        <v>466</v>
      </c>
      <c r="C436" t="s">
        <v>472</v>
      </c>
      <c r="D436">
        <v>722406</v>
      </c>
      <c r="E436" t="s">
        <v>13</v>
      </c>
      <c r="F436">
        <v>29.567</v>
      </c>
      <c r="G436">
        <v>-90.667000000000002</v>
      </c>
      <c r="H436">
        <v>-6</v>
      </c>
      <c r="I436">
        <v>3</v>
      </c>
      <c r="J436" t="str">
        <f>HYPERLINK("https://climate.onebuilding.org/WMO_Region_4_North_and_Central_America/USA_United_States_of_America/LA_Louisiana/USA_LA_Houma-Terrebonne.AP.722406_TMY3.zip")</f>
        <v>https://climate.onebuilding.org/WMO_Region_4_North_and_Central_America/USA_United_States_of_America/LA_Louisiana/USA_LA_Houma-Terrebonne.AP.722406_TMY3.zip</v>
      </c>
    </row>
    <row r="437" spans="1:10" x14ac:dyDescent="0.25">
      <c r="A437" t="s">
        <v>15</v>
      </c>
      <c r="B437" t="s">
        <v>466</v>
      </c>
      <c r="C437" t="s">
        <v>473</v>
      </c>
      <c r="D437">
        <v>722405</v>
      </c>
      <c r="E437" t="s">
        <v>13</v>
      </c>
      <c r="F437">
        <v>30.2</v>
      </c>
      <c r="G437">
        <v>-91.983000000000004</v>
      </c>
      <c r="H437">
        <v>-6</v>
      </c>
      <c r="I437">
        <v>12</v>
      </c>
      <c r="J437" t="str">
        <f>HYPERLINK("https://climate.onebuilding.org/WMO_Region_4_North_and_Central_America/USA_United_States_of_America/LA_Louisiana/USA_LA_Lafayette.Rgnl.AP.722405_TMY3.zip")</f>
        <v>https://climate.onebuilding.org/WMO_Region_4_North_and_Central_America/USA_United_States_of_America/LA_Louisiana/USA_LA_Lafayette.Rgnl.AP.722405_TMY3.zip</v>
      </c>
    </row>
    <row r="438" spans="1:10" x14ac:dyDescent="0.25">
      <c r="A438" t="s">
        <v>15</v>
      </c>
      <c r="B438" t="s">
        <v>466</v>
      </c>
      <c r="C438" t="s">
        <v>474</v>
      </c>
      <c r="D438">
        <v>722404</v>
      </c>
      <c r="E438" t="s">
        <v>13</v>
      </c>
      <c r="F438">
        <v>30.216999999999999</v>
      </c>
      <c r="G438">
        <v>-93.167000000000002</v>
      </c>
      <c r="H438">
        <v>-6</v>
      </c>
      <c r="I438">
        <v>5</v>
      </c>
      <c r="J438" t="str">
        <f>HYPERLINK("https://climate.onebuilding.org/WMO_Region_4_North_and_Central_America/USA_United_States_of_America/LA_Louisiana/USA_LA_Lake.Charles-Chennault.Intl.AP.722404_TMY3.zip")</f>
        <v>https://climate.onebuilding.org/WMO_Region_4_North_and_Central_America/USA_United_States_of_America/LA_Louisiana/USA_LA_Lake.Charles-Chennault.Intl.AP.722404_TMY3.zip</v>
      </c>
    </row>
    <row r="439" spans="1:10" x14ac:dyDescent="0.25">
      <c r="A439" t="s">
        <v>15</v>
      </c>
      <c r="B439" t="s">
        <v>466</v>
      </c>
      <c r="C439" t="s">
        <v>475</v>
      </c>
      <c r="D439">
        <v>722400</v>
      </c>
      <c r="E439" t="s">
        <v>13</v>
      </c>
      <c r="F439">
        <v>30.117000000000001</v>
      </c>
      <c r="G439">
        <v>-93.233000000000004</v>
      </c>
      <c r="H439">
        <v>-6</v>
      </c>
      <c r="I439">
        <v>5</v>
      </c>
      <c r="J439" t="str">
        <f>HYPERLINK("https://climate.onebuilding.org/WMO_Region_4_North_and_Central_America/USA_United_States_of_America/LA_Louisiana/USA_LA_Lake.Charles.Rgnl.AP.722400_TMY3.zip")</f>
        <v>https://climate.onebuilding.org/WMO_Region_4_North_and_Central_America/USA_United_States_of_America/LA_Louisiana/USA_LA_Lake.Charles.Rgnl.AP.722400_TMY3.zip</v>
      </c>
    </row>
    <row r="440" spans="1:10" x14ac:dyDescent="0.25">
      <c r="A440" t="s">
        <v>15</v>
      </c>
      <c r="B440" t="s">
        <v>466</v>
      </c>
      <c r="C440" t="s">
        <v>476</v>
      </c>
      <c r="D440">
        <v>722486</v>
      </c>
      <c r="E440" t="s">
        <v>13</v>
      </c>
      <c r="F440">
        <v>32.517000000000003</v>
      </c>
      <c r="G440">
        <v>-92.033000000000001</v>
      </c>
      <c r="H440">
        <v>-6</v>
      </c>
      <c r="I440">
        <v>40</v>
      </c>
      <c r="J440" t="str">
        <f>HYPERLINK("https://climate.onebuilding.org/WMO_Region_4_North_and_Central_America/USA_United_States_of_America/LA_Louisiana/USA_LA_Monroe.Rgnl.AP.722486_TMY3.zip")</f>
        <v>https://climate.onebuilding.org/WMO_Region_4_North_and_Central_America/USA_United_States_of_America/LA_Louisiana/USA_LA_Monroe.Rgnl.AP.722486_TMY3.zip</v>
      </c>
    </row>
    <row r="441" spans="1:10" x14ac:dyDescent="0.25">
      <c r="A441" t="s">
        <v>15</v>
      </c>
      <c r="B441" t="s">
        <v>466</v>
      </c>
      <c r="C441" t="s">
        <v>477</v>
      </c>
      <c r="D441">
        <v>722314</v>
      </c>
      <c r="E441" t="s">
        <v>13</v>
      </c>
      <c r="F441">
        <v>30.033000000000001</v>
      </c>
      <c r="G441">
        <v>-91.882999999999996</v>
      </c>
      <c r="H441">
        <v>-6</v>
      </c>
      <c r="I441">
        <v>8</v>
      </c>
      <c r="J441" t="str">
        <f>HYPERLINK("https://climate.onebuilding.org/WMO_Region_4_North_and_Central_America/USA_United_States_of_America/LA_Louisiana/USA_LA_New.Iberia-Acadiana.Rgnl.AP.722314_TMY3.zip")</f>
        <v>https://climate.onebuilding.org/WMO_Region_4_North_and_Central_America/USA_United_States_of_America/LA_Louisiana/USA_LA_New.Iberia-Acadiana.Rgnl.AP.722314_TMY3.zip</v>
      </c>
    </row>
    <row r="442" spans="1:10" x14ac:dyDescent="0.25">
      <c r="A442" t="s">
        <v>15</v>
      </c>
      <c r="B442" t="s">
        <v>466</v>
      </c>
      <c r="C442" t="s">
        <v>478</v>
      </c>
      <c r="D442">
        <v>722316</v>
      </c>
      <c r="E442" t="s">
        <v>13</v>
      </c>
      <c r="F442">
        <v>29.817</v>
      </c>
      <c r="G442">
        <v>-90.016999999999996</v>
      </c>
      <c r="H442">
        <v>-6</v>
      </c>
      <c r="I442">
        <v>2</v>
      </c>
      <c r="J442" t="str">
        <f>HYPERLINK("https://climate.onebuilding.org/WMO_Region_4_North_and_Central_America/USA_United_States_of_America/LA_Louisiana/USA_LA_New.Orleans-NAS.JRB.New.Orleans-Callender.Field.722316_TMY3.zip")</f>
        <v>https://climate.onebuilding.org/WMO_Region_4_North_and_Central_America/USA_United_States_of_America/LA_Louisiana/USA_LA_New.Orleans-NAS.JRB.New.Orleans-Callender.Field.722316_TMY3.zip</v>
      </c>
    </row>
    <row r="443" spans="1:10" x14ac:dyDescent="0.25">
      <c r="A443" t="s">
        <v>15</v>
      </c>
      <c r="B443" t="s">
        <v>466</v>
      </c>
      <c r="C443" t="s">
        <v>479</v>
      </c>
      <c r="D443">
        <v>722315</v>
      </c>
      <c r="E443" t="s">
        <v>13</v>
      </c>
      <c r="F443">
        <v>30.05</v>
      </c>
      <c r="G443">
        <v>-90.033000000000001</v>
      </c>
      <c r="H443">
        <v>-6</v>
      </c>
      <c r="I443">
        <v>3</v>
      </c>
      <c r="J443" t="str">
        <f>HYPERLINK("https://climate.onebuilding.org/WMO_Region_4_North_and_Central_America/USA_United_States_of_America/LA_Louisiana/USA_LA_New.Orleans-Lakefront.AP.722315_TMY3.zip")</f>
        <v>https://climate.onebuilding.org/WMO_Region_4_North_and_Central_America/USA_United_States_of_America/LA_Louisiana/USA_LA_New.Orleans-Lakefront.AP.722315_TMY3.zip</v>
      </c>
    </row>
    <row r="444" spans="1:10" x14ac:dyDescent="0.25">
      <c r="A444" t="s">
        <v>15</v>
      </c>
      <c r="B444" t="s">
        <v>466</v>
      </c>
      <c r="C444" t="s">
        <v>480</v>
      </c>
      <c r="D444">
        <v>722310</v>
      </c>
      <c r="E444" t="s">
        <v>13</v>
      </c>
      <c r="F444">
        <v>30</v>
      </c>
      <c r="G444">
        <v>-90.25</v>
      </c>
      <c r="H444">
        <v>-6</v>
      </c>
      <c r="I444">
        <v>1</v>
      </c>
      <c r="J444" t="str">
        <f>HYPERLINK("https://climate.onebuilding.org/WMO_Region_4_North_and_Central_America/USA_United_States_of_America/LA_Louisiana/USA_LA_New.Orleans-Armstrong.Intl.AP.722310_TMY3.zip")</f>
        <v>https://climate.onebuilding.org/WMO_Region_4_North_and_Central_America/USA_United_States_of_America/LA_Louisiana/USA_LA_New.Orleans-Armstrong.Intl.AP.722310_TMY3.zip</v>
      </c>
    </row>
    <row r="445" spans="1:10" x14ac:dyDescent="0.25">
      <c r="A445" t="s">
        <v>15</v>
      </c>
      <c r="B445" t="s">
        <v>466</v>
      </c>
      <c r="C445" t="s">
        <v>481</v>
      </c>
      <c r="D445">
        <v>722329</v>
      </c>
      <c r="E445" t="s">
        <v>13</v>
      </c>
      <c r="F445">
        <v>29.716999999999999</v>
      </c>
      <c r="G445">
        <v>-91.332999999999998</v>
      </c>
      <c r="H445">
        <v>-6</v>
      </c>
      <c r="I445">
        <v>3</v>
      </c>
      <c r="J445" t="str">
        <f>HYPERLINK("https://climate.onebuilding.org/WMO_Region_4_North_and_Central_America/USA_United_States_of_America/LA_Louisiana/USA_LA_Patterson-Williams.Meml.AP.722329_TMY3.zip")</f>
        <v>https://climate.onebuilding.org/WMO_Region_4_North_and_Central_America/USA_United_States_of_America/LA_Louisiana/USA_LA_Patterson-Williams.Meml.AP.722329_TMY3.zip</v>
      </c>
    </row>
    <row r="446" spans="1:10" x14ac:dyDescent="0.25">
      <c r="A446" t="s">
        <v>15</v>
      </c>
      <c r="B446" t="s">
        <v>466</v>
      </c>
      <c r="C446" t="s">
        <v>482</v>
      </c>
      <c r="D446">
        <v>722484</v>
      </c>
      <c r="E446" t="s">
        <v>13</v>
      </c>
      <c r="F446">
        <v>32.533000000000001</v>
      </c>
      <c r="G446">
        <v>-93.75</v>
      </c>
      <c r="H446">
        <v>-6</v>
      </c>
      <c r="I446">
        <v>55</v>
      </c>
      <c r="J446" t="str">
        <f>HYPERLINK("https://climate.onebuilding.org/WMO_Region_4_North_and_Central_America/USA_United_States_of_America/LA_Louisiana/USA_LA_Shreveport.Downtown.AP.722484_TMY3.zip")</f>
        <v>https://climate.onebuilding.org/WMO_Region_4_North_and_Central_America/USA_United_States_of_America/LA_Louisiana/USA_LA_Shreveport.Downtown.AP.722484_TMY3.zip</v>
      </c>
    </row>
    <row r="447" spans="1:10" x14ac:dyDescent="0.25">
      <c r="A447" t="s">
        <v>15</v>
      </c>
      <c r="B447" t="s">
        <v>466</v>
      </c>
      <c r="C447" t="s">
        <v>483</v>
      </c>
      <c r="D447">
        <v>722480</v>
      </c>
      <c r="E447" t="s">
        <v>13</v>
      </c>
      <c r="F447">
        <v>32.450000000000003</v>
      </c>
      <c r="G447">
        <v>-93.816999999999993</v>
      </c>
      <c r="H447">
        <v>-6</v>
      </c>
      <c r="I447">
        <v>77</v>
      </c>
      <c r="J447" t="str">
        <f>HYPERLINK("https://climate.onebuilding.org/WMO_Region_4_North_and_Central_America/USA_United_States_of_America/LA_Louisiana/USA_LA_Shreveport.Rgnl.AP.722480_TMY3.zip")</f>
        <v>https://climate.onebuilding.org/WMO_Region_4_North_and_Central_America/USA_United_States_of_America/LA_Louisiana/USA_LA_Shreveport.Rgnl.AP.722480_TMY3.zip</v>
      </c>
    </row>
    <row r="448" spans="1:10" x14ac:dyDescent="0.25">
      <c r="A448" t="s">
        <v>15</v>
      </c>
      <c r="B448" t="s">
        <v>484</v>
      </c>
      <c r="C448" t="s">
        <v>485</v>
      </c>
      <c r="D448">
        <v>725067</v>
      </c>
      <c r="E448" t="s">
        <v>13</v>
      </c>
      <c r="F448">
        <v>41.667000000000002</v>
      </c>
      <c r="G448">
        <v>-70.283000000000001</v>
      </c>
      <c r="H448">
        <v>-5</v>
      </c>
      <c r="I448">
        <v>17</v>
      </c>
      <c r="J448" t="str">
        <f>HYPERLINK("https://climate.onebuilding.org/WMO_Region_4_North_and_Central_America/USA_United_States_of_America/MA_Massachusetts/USA_MA_Cape.Cod.Gateway.AP-Barnstable.Muni.AP-Boardman.Poland.Field.725067_TMY3.zip")</f>
        <v>https://climate.onebuilding.org/WMO_Region_4_North_and_Central_America/USA_United_States_of_America/MA_Massachusetts/USA_MA_Cape.Cod.Gateway.AP-Barnstable.Muni.AP-Boardman.Poland.Field.725067_TMY3.zip</v>
      </c>
    </row>
    <row r="449" spans="1:10" x14ac:dyDescent="0.25">
      <c r="A449" t="s">
        <v>15</v>
      </c>
      <c r="B449" t="s">
        <v>484</v>
      </c>
      <c r="C449" t="s">
        <v>486</v>
      </c>
      <c r="D449">
        <v>725088</v>
      </c>
      <c r="E449" t="s">
        <v>13</v>
      </c>
      <c r="F449">
        <v>42.582999999999998</v>
      </c>
      <c r="G449">
        <v>-70.917000000000002</v>
      </c>
      <c r="H449">
        <v>-5</v>
      </c>
      <c r="I449">
        <v>34</v>
      </c>
      <c r="J449" t="str">
        <f>HYPERLINK("https://climate.onebuilding.org/WMO_Region_4_North_and_Central_America/USA_United_States_of_America/MA_Massachusetts/USA_MA_Beverly.Muni.AP.725088_TMY3.zip")</f>
        <v>https://climate.onebuilding.org/WMO_Region_4_North_and_Central_America/USA_United_States_of_America/MA_Massachusetts/USA_MA_Beverly.Muni.AP.725088_TMY3.zip</v>
      </c>
    </row>
    <row r="450" spans="1:10" x14ac:dyDescent="0.25">
      <c r="A450" t="s">
        <v>15</v>
      </c>
      <c r="B450" t="s">
        <v>484</v>
      </c>
      <c r="C450" t="s">
        <v>487</v>
      </c>
      <c r="D450">
        <v>725090</v>
      </c>
      <c r="E450" t="s">
        <v>13</v>
      </c>
      <c r="F450">
        <v>42.366999999999997</v>
      </c>
      <c r="G450">
        <v>-71.016999999999996</v>
      </c>
      <c r="H450">
        <v>-5</v>
      </c>
      <c r="I450">
        <v>6</v>
      </c>
      <c r="J450" t="str">
        <f>HYPERLINK("https://climate.onebuilding.org/WMO_Region_4_North_and_Central_America/USA_United_States_of_America/MA_Massachusetts/USA_MA_Boston-Logan.Intl.AP.725090_TMY3.zip")</f>
        <v>https://climate.onebuilding.org/WMO_Region_4_North_and_Central_America/USA_United_States_of_America/MA_Massachusetts/USA_MA_Boston-Logan.Intl.AP.725090_TMY3.zip</v>
      </c>
    </row>
    <row r="451" spans="1:10" x14ac:dyDescent="0.25">
      <c r="A451" t="s">
        <v>15</v>
      </c>
      <c r="B451" t="s">
        <v>484</v>
      </c>
      <c r="C451" t="s">
        <v>488</v>
      </c>
      <c r="D451">
        <v>744910</v>
      </c>
      <c r="E451" t="s">
        <v>13</v>
      </c>
      <c r="F451">
        <v>42.2</v>
      </c>
      <c r="G451">
        <v>-72.533000000000001</v>
      </c>
      <c r="H451">
        <v>-5</v>
      </c>
      <c r="I451">
        <v>75</v>
      </c>
      <c r="J451" t="str">
        <f>HYPERLINK("https://climate.onebuilding.org/WMO_Region_4_North_and_Central_America/USA_United_States_of_America/MA_Massachusetts/USA_MA_Chicopee-Westover.Metro.AP.744910_TMY3.zip")</f>
        <v>https://climate.onebuilding.org/WMO_Region_4_North_and_Central_America/USA_United_States_of_America/MA_Massachusetts/USA_MA_Chicopee-Westover.Metro.AP.744910_TMY3.zip</v>
      </c>
    </row>
    <row r="452" spans="1:10" x14ac:dyDescent="0.25">
      <c r="A452" t="s">
        <v>15</v>
      </c>
      <c r="B452" t="s">
        <v>484</v>
      </c>
      <c r="C452" t="s">
        <v>489</v>
      </c>
      <c r="D452">
        <v>744904</v>
      </c>
      <c r="E452" t="s">
        <v>13</v>
      </c>
      <c r="F452">
        <v>42.716999999999999</v>
      </c>
      <c r="G452">
        <v>-71.117000000000004</v>
      </c>
      <c r="H452">
        <v>-5</v>
      </c>
      <c r="I452">
        <v>46</v>
      </c>
      <c r="J452" t="str">
        <f>HYPERLINK("https://climate.onebuilding.org/WMO_Region_4_North_and_Central_America/USA_United_States_of_America/MA_Massachusetts/USA_MA_Lawrence.Muni.AP.744904_TMY3.zip")</f>
        <v>https://climate.onebuilding.org/WMO_Region_4_North_and_Central_America/USA_United_States_of_America/MA_Massachusetts/USA_MA_Lawrence.Muni.AP.744904_TMY3.zip</v>
      </c>
    </row>
    <row r="453" spans="1:10" x14ac:dyDescent="0.25">
      <c r="A453" t="s">
        <v>15</v>
      </c>
      <c r="B453" t="s">
        <v>484</v>
      </c>
      <c r="C453" t="s">
        <v>490</v>
      </c>
      <c r="D453">
        <v>725066</v>
      </c>
      <c r="E453" t="s">
        <v>13</v>
      </c>
      <c r="F453">
        <v>41.4</v>
      </c>
      <c r="G453">
        <v>-70.617000000000004</v>
      </c>
      <c r="H453">
        <v>-5</v>
      </c>
      <c r="I453">
        <v>21</v>
      </c>
      <c r="J453" t="str">
        <f>HYPERLINK("https://climate.onebuilding.org/WMO_Region_4_North_and_Central_America/USA_United_States_of_America/MA_Massachusetts/USA_MA_Marthas.Vineyard.AP.725066_TMY3.zip")</f>
        <v>https://climate.onebuilding.org/WMO_Region_4_North_and_Central_America/USA_United_States_of_America/MA_Massachusetts/USA_MA_Marthas.Vineyard.AP.725066_TMY3.zip</v>
      </c>
    </row>
    <row r="454" spans="1:10" x14ac:dyDescent="0.25">
      <c r="A454" t="s">
        <v>15</v>
      </c>
      <c r="B454" t="s">
        <v>484</v>
      </c>
      <c r="C454" t="s">
        <v>491</v>
      </c>
      <c r="D454">
        <v>725063</v>
      </c>
      <c r="E454" t="s">
        <v>13</v>
      </c>
      <c r="F454">
        <v>41.25</v>
      </c>
      <c r="G454">
        <v>-70.066999999999993</v>
      </c>
      <c r="H454">
        <v>-5</v>
      </c>
      <c r="I454">
        <v>14</v>
      </c>
      <c r="J454" t="str">
        <f>HYPERLINK("https://climate.onebuilding.org/WMO_Region_4_North_and_Central_America/USA_United_States_of_America/MA_Massachusetts/USA_MA_Nantucket.Meml.AP.725063_TMY3.zip")</f>
        <v>https://climate.onebuilding.org/WMO_Region_4_North_and_Central_America/USA_United_States_of_America/MA_Massachusetts/USA_MA_Nantucket.Meml.AP.725063_TMY3.zip</v>
      </c>
    </row>
    <row r="455" spans="1:10" x14ac:dyDescent="0.25">
      <c r="A455" t="s">
        <v>15</v>
      </c>
      <c r="B455" t="s">
        <v>484</v>
      </c>
      <c r="C455" t="s">
        <v>492</v>
      </c>
      <c r="D455">
        <v>725065</v>
      </c>
      <c r="E455" t="s">
        <v>13</v>
      </c>
      <c r="F455">
        <v>41.667000000000002</v>
      </c>
      <c r="G455">
        <v>-70.95</v>
      </c>
      <c r="H455">
        <v>-5</v>
      </c>
      <c r="I455">
        <v>25</v>
      </c>
      <c r="J455" t="str">
        <f>HYPERLINK("https://climate.onebuilding.org/WMO_Region_4_North_and_Central_America/USA_United_States_of_America/MA_Massachusetts/USA_MA_New.Bedford.Rgnl.AP.725065_TMY3.zip")</f>
        <v>https://climate.onebuilding.org/WMO_Region_4_North_and_Central_America/USA_United_States_of_America/MA_Massachusetts/USA_MA_New.Bedford.Rgnl.AP.725065_TMY3.zip</v>
      </c>
    </row>
    <row r="456" spans="1:10" x14ac:dyDescent="0.25">
      <c r="A456" t="s">
        <v>15</v>
      </c>
      <c r="B456" t="s">
        <v>484</v>
      </c>
      <c r="C456" t="s">
        <v>493</v>
      </c>
      <c r="D456">
        <v>725075</v>
      </c>
      <c r="E456" t="s">
        <v>13</v>
      </c>
      <c r="F456">
        <v>42.7</v>
      </c>
      <c r="G456">
        <v>-73.167000000000002</v>
      </c>
      <c r="H456">
        <v>-5</v>
      </c>
      <c r="I456">
        <v>201</v>
      </c>
      <c r="J456" t="str">
        <f>HYPERLINK("https://climate.onebuilding.org/WMO_Region_4_North_and_Central_America/USA_United_States_of_America/MA_Massachusetts/USA_MA_North.Adams-Harriman-West.AP.725075_TMY3.zip")</f>
        <v>https://climate.onebuilding.org/WMO_Region_4_North_and_Central_America/USA_United_States_of_America/MA_Massachusetts/USA_MA_North.Adams-Harriman-West.AP.725075_TMY3.zip</v>
      </c>
    </row>
    <row r="457" spans="1:10" x14ac:dyDescent="0.25">
      <c r="A457" t="s">
        <v>15</v>
      </c>
      <c r="B457" t="s">
        <v>484</v>
      </c>
      <c r="C457" t="s">
        <v>494</v>
      </c>
      <c r="D457">
        <v>725098</v>
      </c>
      <c r="E457" t="s">
        <v>13</v>
      </c>
      <c r="F457">
        <v>42.183</v>
      </c>
      <c r="G457">
        <v>-71.183000000000007</v>
      </c>
      <c r="H457">
        <v>-5</v>
      </c>
      <c r="I457">
        <v>15</v>
      </c>
      <c r="J457" t="str">
        <f>HYPERLINK("https://climate.onebuilding.org/WMO_Region_4_North_and_Central_America/USA_United_States_of_America/MA_Massachusetts/USA_MA_Norwood.Meml.AP.725098_TMY3.zip")</f>
        <v>https://climate.onebuilding.org/WMO_Region_4_North_and_Central_America/USA_United_States_of_America/MA_Massachusetts/USA_MA_Norwood.Meml.AP.725098_TMY3.zip</v>
      </c>
    </row>
    <row r="458" spans="1:10" x14ac:dyDescent="0.25">
      <c r="A458" t="s">
        <v>15</v>
      </c>
      <c r="B458" t="s">
        <v>484</v>
      </c>
      <c r="C458" t="s">
        <v>495</v>
      </c>
      <c r="D458">
        <v>725060</v>
      </c>
      <c r="E458" t="s">
        <v>13</v>
      </c>
      <c r="F458">
        <v>41.65</v>
      </c>
      <c r="G458">
        <v>-70.516999999999996</v>
      </c>
      <c r="H458">
        <v>-5</v>
      </c>
      <c r="I458">
        <v>40</v>
      </c>
      <c r="J458" t="str">
        <f>HYPERLINK("https://climate.onebuilding.org/WMO_Region_4_North_and_Central_America/USA_United_States_of_America/MA_Massachusetts/USA_MA_Otis.ANGB.725060_TMY3.zip")</f>
        <v>https://climate.onebuilding.org/WMO_Region_4_North_and_Central_America/USA_United_States_of_America/MA_Massachusetts/USA_MA_Otis.ANGB.725060_TMY3.zip</v>
      </c>
    </row>
    <row r="459" spans="1:10" x14ac:dyDescent="0.25">
      <c r="A459" t="s">
        <v>15</v>
      </c>
      <c r="B459" t="s">
        <v>484</v>
      </c>
      <c r="C459" t="s">
        <v>496</v>
      </c>
      <c r="D459">
        <v>725064</v>
      </c>
      <c r="E459" t="s">
        <v>13</v>
      </c>
      <c r="F459">
        <v>41.917000000000002</v>
      </c>
      <c r="G459">
        <v>-70.733000000000004</v>
      </c>
      <c r="H459">
        <v>-5</v>
      </c>
      <c r="I459">
        <v>45</v>
      </c>
      <c r="J459" t="str">
        <f>HYPERLINK("https://climate.onebuilding.org/WMO_Region_4_North_and_Central_America/USA_United_States_of_America/MA_Massachusetts/USA_MA_Plymouth.Muni.AP.725064_TMY3.zip")</f>
        <v>https://climate.onebuilding.org/WMO_Region_4_North_and_Central_America/USA_United_States_of_America/MA_Massachusetts/USA_MA_Plymouth.Muni.AP.725064_TMY3.zip</v>
      </c>
    </row>
    <row r="460" spans="1:10" x14ac:dyDescent="0.25">
      <c r="A460" t="s">
        <v>15</v>
      </c>
      <c r="B460" t="s">
        <v>484</v>
      </c>
      <c r="C460" t="s">
        <v>497</v>
      </c>
      <c r="D460">
        <v>725073</v>
      </c>
      <c r="E460" t="s">
        <v>13</v>
      </c>
      <c r="F460">
        <v>42.067</v>
      </c>
      <c r="G460">
        <v>-70.216999999999999</v>
      </c>
      <c r="H460">
        <v>-5</v>
      </c>
      <c r="I460">
        <v>2</v>
      </c>
      <c r="J460" t="str">
        <f>HYPERLINK("https://climate.onebuilding.org/WMO_Region_4_North_and_Central_America/USA_United_States_of_America/MA_Massachusetts/USA_MA_Provincetown.Muni.AP.725073_TMY3.zip")</f>
        <v>https://climate.onebuilding.org/WMO_Region_4_North_and_Central_America/USA_United_States_of_America/MA_Massachusetts/USA_MA_Provincetown.Muni.AP.725073_TMY3.zip</v>
      </c>
    </row>
    <row r="461" spans="1:10" x14ac:dyDescent="0.25">
      <c r="A461" t="s">
        <v>15</v>
      </c>
      <c r="B461" t="s">
        <v>484</v>
      </c>
      <c r="C461" t="s">
        <v>498</v>
      </c>
      <c r="D461">
        <v>744915</v>
      </c>
      <c r="E461" t="s">
        <v>13</v>
      </c>
      <c r="F461">
        <v>42.15</v>
      </c>
      <c r="G461">
        <v>-72.716999999999999</v>
      </c>
      <c r="H461">
        <v>-5</v>
      </c>
      <c r="I461">
        <v>83</v>
      </c>
      <c r="J461" t="str">
        <f>HYPERLINK("https://climate.onebuilding.org/WMO_Region_4_North_and_Central_America/USA_United_States_of_America/MA_Massachusetts/USA_MA_Westfield-Barnes.Rgnl.AP.744915_TMY3.zip")</f>
        <v>https://climate.onebuilding.org/WMO_Region_4_North_and_Central_America/USA_United_States_of_America/MA_Massachusetts/USA_MA_Westfield-Barnes.Rgnl.AP.744915_TMY3.zip</v>
      </c>
    </row>
    <row r="462" spans="1:10" x14ac:dyDescent="0.25">
      <c r="A462" t="s">
        <v>15</v>
      </c>
      <c r="B462" t="s">
        <v>484</v>
      </c>
      <c r="C462" t="s">
        <v>499</v>
      </c>
      <c r="D462">
        <v>725100</v>
      </c>
      <c r="E462" t="s">
        <v>13</v>
      </c>
      <c r="F462">
        <v>42.267000000000003</v>
      </c>
      <c r="G462">
        <v>-71.882999999999996</v>
      </c>
      <c r="H462">
        <v>-5</v>
      </c>
      <c r="I462">
        <v>300</v>
      </c>
      <c r="J462" t="str">
        <f>HYPERLINK("https://climate.onebuilding.org/WMO_Region_4_North_and_Central_America/USA_United_States_of_America/MA_Massachusetts/USA_MA_Worcester.Rgnl.AP.725100_TMY3.zip")</f>
        <v>https://climate.onebuilding.org/WMO_Region_4_North_and_Central_America/USA_United_States_of_America/MA_Massachusetts/USA_MA_Worcester.Rgnl.AP.725100_TMY3.zip</v>
      </c>
    </row>
    <row r="463" spans="1:10" x14ac:dyDescent="0.25">
      <c r="A463" t="s">
        <v>15</v>
      </c>
      <c r="B463" t="s">
        <v>500</v>
      </c>
      <c r="C463" t="s">
        <v>501</v>
      </c>
      <c r="D463">
        <v>745940</v>
      </c>
      <c r="E463" t="s">
        <v>13</v>
      </c>
      <c r="F463">
        <v>38.817</v>
      </c>
      <c r="G463">
        <v>-76.867000000000004</v>
      </c>
      <c r="H463">
        <v>-5</v>
      </c>
      <c r="I463">
        <v>86</v>
      </c>
      <c r="J463" t="str">
        <f>HYPERLINK("https://climate.onebuilding.org/WMO_Region_4_North_and_Central_America/USA_United_States_of_America/MD_Maryland/USA_MD_Camp.Springs-JB.Andrews.745940_TMY3.zip")</f>
        <v>https://climate.onebuilding.org/WMO_Region_4_North_and_Central_America/USA_United_States_of_America/MD_Maryland/USA_MD_Camp.Springs-JB.Andrews.745940_TMY3.zip</v>
      </c>
    </row>
    <row r="464" spans="1:10" x14ac:dyDescent="0.25">
      <c r="A464" t="s">
        <v>15</v>
      </c>
      <c r="B464" t="s">
        <v>500</v>
      </c>
      <c r="C464" t="s">
        <v>502</v>
      </c>
      <c r="D464">
        <v>724060</v>
      </c>
      <c r="E464" t="s">
        <v>13</v>
      </c>
      <c r="F464">
        <v>39.167000000000002</v>
      </c>
      <c r="G464">
        <v>-76.683000000000007</v>
      </c>
      <c r="H464">
        <v>-5</v>
      </c>
      <c r="I464">
        <v>45</v>
      </c>
      <c r="J464" t="str">
        <f>HYPERLINK("https://climate.onebuilding.org/WMO_Region_4_North_and_Central_America/USA_United_States_of_America/MD_Maryland/USA_MD_Baltimore-Washington.Intl.Marshall.AP.724060_TMY3.zip")</f>
        <v>https://climate.onebuilding.org/WMO_Region_4_North_and_Central_America/USA_United_States_of_America/MD_Maryland/USA_MD_Baltimore-Washington.Intl.Marshall.AP.724060_TMY3.zip</v>
      </c>
    </row>
    <row r="465" spans="1:10" x14ac:dyDescent="0.25">
      <c r="A465" t="s">
        <v>15</v>
      </c>
      <c r="B465" t="s">
        <v>500</v>
      </c>
      <c r="C465" t="s">
        <v>503</v>
      </c>
      <c r="D465">
        <v>724066</v>
      </c>
      <c r="E465" t="s">
        <v>13</v>
      </c>
      <c r="F465">
        <v>39.700000000000003</v>
      </c>
      <c r="G465">
        <v>-77.733000000000004</v>
      </c>
      <c r="H465">
        <v>-5</v>
      </c>
      <c r="I465">
        <v>220</v>
      </c>
      <c r="J465" t="str">
        <f>HYPERLINK("https://climate.onebuilding.org/WMO_Region_4_North_and_Central_America/USA_United_States_of_America/MD_Maryland/USA_MD_Hagerstown.Rgnl.AP-Henson.Field.724066_TMY3.zip")</f>
        <v>https://climate.onebuilding.org/WMO_Region_4_North_and_Central_America/USA_United_States_of_America/MD_Maryland/USA_MD_Hagerstown.Rgnl.AP-Henson.Field.724066_TMY3.zip</v>
      </c>
    </row>
    <row r="466" spans="1:10" x14ac:dyDescent="0.25">
      <c r="A466" t="s">
        <v>15</v>
      </c>
      <c r="B466" t="s">
        <v>500</v>
      </c>
      <c r="C466" t="s">
        <v>504</v>
      </c>
      <c r="D466">
        <v>724040</v>
      </c>
      <c r="E466" t="s">
        <v>13</v>
      </c>
      <c r="F466">
        <v>38.299999999999997</v>
      </c>
      <c r="G466">
        <v>-76.417000000000002</v>
      </c>
      <c r="H466">
        <v>-5</v>
      </c>
      <c r="I466">
        <v>14</v>
      </c>
      <c r="J466" t="str">
        <f>HYPERLINK("https://climate.onebuilding.org/WMO_Region_4_North_and_Central_America/USA_United_States_of_America/MD_Maryland/USA_MD_NAS.Patuxent.River.724040_TMY3.zip")</f>
        <v>https://climate.onebuilding.org/WMO_Region_4_North_and_Central_America/USA_United_States_of_America/MD_Maryland/USA_MD_NAS.Patuxent.River.724040_TMY3.zip</v>
      </c>
    </row>
    <row r="467" spans="1:10" x14ac:dyDescent="0.25">
      <c r="A467" t="s">
        <v>15</v>
      </c>
      <c r="B467" t="s">
        <v>500</v>
      </c>
      <c r="C467" t="s">
        <v>505</v>
      </c>
      <c r="D467">
        <v>723980</v>
      </c>
      <c r="E467" t="s">
        <v>13</v>
      </c>
      <c r="F467">
        <v>38.332999999999998</v>
      </c>
      <c r="G467">
        <v>-75.516999999999996</v>
      </c>
      <c r="H467">
        <v>-5</v>
      </c>
      <c r="I467">
        <v>15</v>
      </c>
      <c r="J467" t="str">
        <f>HYPERLINK("https://climate.onebuilding.org/WMO_Region_4_North_and_Central_America/USA_United_States_of_America/MD_Maryland/USA_MD_Salisbury-Ocean.City-Wicomico.Rgnl.AP.723980_TMY3.zip")</f>
        <v>https://climate.onebuilding.org/WMO_Region_4_North_and_Central_America/USA_United_States_of_America/MD_Maryland/USA_MD_Salisbury-Ocean.City-Wicomico.Rgnl.AP.723980_TMY3.zip</v>
      </c>
    </row>
    <row r="468" spans="1:10" x14ac:dyDescent="0.25">
      <c r="A468" t="s">
        <v>15</v>
      </c>
      <c r="B468" t="s">
        <v>506</v>
      </c>
      <c r="C468" t="s">
        <v>507</v>
      </c>
      <c r="D468">
        <v>726184</v>
      </c>
      <c r="E468" t="s">
        <v>13</v>
      </c>
      <c r="F468">
        <v>44.05</v>
      </c>
      <c r="G468">
        <v>-70.283000000000001</v>
      </c>
      <c r="H468">
        <v>-5</v>
      </c>
      <c r="I468">
        <v>88</v>
      </c>
      <c r="J468" t="str">
        <f>HYPERLINK("https://climate.onebuilding.org/WMO_Region_4_North_and_Central_America/USA_United_States_of_America/ME_Maine/USA_ME_Auburn-Lewiston.Muni.AP.726184_TMY3.zip")</f>
        <v>https://climate.onebuilding.org/WMO_Region_4_North_and_Central_America/USA_United_States_of_America/ME_Maine/USA_ME_Auburn-Lewiston.Muni.AP.726184_TMY3.zip</v>
      </c>
    </row>
    <row r="469" spans="1:10" x14ac:dyDescent="0.25">
      <c r="A469" t="s">
        <v>15</v>
      </c>
      <c r="B469" t="s">
        <v>506</v>
      </c>
      <c r="C469" t="s">
        <v>508</v>
      </c>
      <c r="D469">
        <v>726185</v>
      </c>
      <c r="E469" t="s">
        <v>13</v>
      </c>
      <c r="F469">
        <v>44.317</v>
      </c>
      <c r="G469">
        <v>-69.8</v>
      </c>
      <c r="H469">
        <v>-5</v>
      </c>
      <c r="I469">
        <v>107</v>
      </c>
      <c r="J469" t="str">
        <f>HYPERLINK("https://climate.onebuilding.org/WMO_Region_4_North_and_Central_America/USA_United_States_of_America/ME_Maine/USA_ME_Augusta.State.AP.726185_TMY3.zip")</f>
        <v>https://climate.onebuilding.org/WMO_Region_4_North_and_Central_America/USA_United_States_of_America/ME_Maine/USA_ME_Augusta.State.AP.726185_TMY3.zip</v>
      </c>
    </row>
    <row r="470" spans="1:10" x14ac:dyDescent="0.25">
      <c r="A470" t="s">
        <v>15</v>
      </c>
      <c r="B470" t="s">
        <v>506</v>
      </c>
      <c r="C470" t="s">
        <v>509</v>
      </c>
      <c r="D470">
        <v>726070</v>
      </c>
      <c r="E470" t="s">
        <v>13</v>
      </c>
      <c r="F470">
        <v>44.8</v>
      </c>
      <c r="G470">
        <v>-68.816999999999993</v>
      </c>
      <c r="H470">
        <v>-5</v>
      </c>
      <c r="I470">
        <v>56</v>
      </c>
      <c r="J470" t="str">
        <f>HYPERLINK("https://climate.onebuilding.org/WMO_Region_4_North_and_Central_America/USA_United_States_of_America/ME_Maine/USA_ME_Bangor.Intl.AP.726070_TMY3.zip")</f>
        <v>https://climate.onebuilding.org/WMO_Region_4_North_and_Central_America/USA_United_States_of_America/ME_Maine/USA_ME_Bangor.Intl.AP.726070_TMY3.zip</v>
      </c>
    </row>
    <row r="471" spans="1:10" x14ac:dyDescent="0.25">
      <c r="A471" t="s">
        <v>15</v>
      </c>
      <c r="B471" t="s">
        <v>506</v>
      </c>
      <c r="C471" t="s">
        <v>510</v>
      </c>
      <c r="D471">
        <v>726077</v>
      </c>
      <c r="E471" t="s">
        <v>13</v>
      </c>
      <c r="F471">
        <v>44.45</v>
      </c>
      <c r="G471">
        <v>-68.367000000000004</v>
      </c>
      <c r="H471">
        <v>-5</v>
      </c>
      <c r="I471">
        <v>26</v>
      </c>
      <c r="J471" t="str">
        <f>HYPERLINK("https://climate.onebuilding.org/WMO_Region_4_North_and_Central_America/USA_United_States_of_America/ME_Maine/USA_ME_Hancock.County-Bar.Harbor.AP.726077_TMY3.zip")</f>
        <v>https://climate.onebuilding.org/WMO_Region_4_North_and_Central_America/USA_United_States_of_America/ME_Maine/USA_ME_Hancock.County-Bar.Harbor.AP.726077_TMY3.zip</v>
      </c>
    </row>
    <row r="472" spans="1:10" x14ac:dyDescent="0.25">
      <c r="A472" t="s">
        <v>15</v>
      </c>
      <c r="B472" t="s">
        <v>506</v>
      </c>
      <c r="C472" t="s">
        <v>511</v>
      </c>
      <c r="D472">
        <v>743920</v>
      </c>
      <c r="E472" t="s">
        <v>13</v>
      </c>
      <c r="F472">
        <v>43.9</v>
      </c>
      <c r="G472">
        <v>-69.933000000000007</v>
      </c>
      <c r="H472">
        <v>-5</v>
      </c>
      <c r="I472">
        <v>21</v>
      </c>
      <c r="J472" t="str">
        <f>HYPERLINK("https://climate.onebuilding.org/WMO_Region_4_North_and_Central_America/USA_United_States_of_America/ME_Maine/USA_ME_Brunswick.Exec.AP-NAS.Brunswick.743920_TMY3.zip")</f>
        <v>https://climate.onebuilding.org/WMO_Region_4_North_and_Central_America/USA_United_States_of_America/ME_Maine/USA_ME_Brunswick.Exec.AP-NAS.Brunswick.743920_TMY3.zip</v>
      </c>
    </row>
    <row r="473" spans="1:10" x14ac:dyDescent="0.25">
      <c r="A473" t="s">
        <v>15</v>
      </c>
      <c r="B473" t="s">
        <v>506</v>
      </c>
      <c r="C473" t="s">
        <v>512</v>
      </c>
      <c r="D473">
        <v>727120</v>
      </c>
      <c r="E473" t="s">
        <v>13</v>
      </c>
      <c r="F473">
        <v>46.866999999999997</v>
      </c>
      <c r="G473">
        <v>-68.033000000000001</v>
      </c>
      <c r="H473">
        <v>-5</v>
      </c>
      <c r="I473">
        <v>190</v>
      </c>
      <c r="J473" t="str">
        <f>HYPERLINK("https://climate.onebuilding.org/WMO_Region_4_North_and_Central_America/USA_United_States_of_America/ME_Maine/USA_ME_Caribou.Muni.AP.727120_TMY3.zip")</f>
        <v>https://climate.onebuilding.org/WMO_Region_4_North_and_Central_America/USA_United_States_of_America/ME_Maine/USA_ME_Caribou.Muni.AP.727120_TMY3.zip</v>
      </c>
    </row>
    <row r="474" spans="1:10" x14ac:dyDescent="0.25">
      <c r="A474" t="s">
        <v>15</v>
      </c>
      <c r="B474" t="s">
        <v>506</v>
      </c>
      <c r="C474" t="s">
        <v>513</v>
      </c>
      <c r="D474">
        <v>726083</v>
      </c>
      <c r="E474" t="s">
        <v>13</v>
      </c>
      <c r="F474">
        <v>47.283000000000001</v>
      </c>
      <c r="G474">
        <v>-68.316999999999993</v>
      </c>
      <c r="H474">
        <v>-5</v>
      </c>
      <c r="I474">
        <v>309</v>
      </c>
      <c r="J474" t="str">
        <f>HYPERLINK("https://climate.onebuilding.org/WMO_Region_4_North_and_Central_America/USA_United_States_of_America/ME_Maine/USA_ME_Frenchville-Northern.Aroostook.Rgnl.AP.726083_TMY3.zip")</f>
        <v>https://climate.onebuilding.org/WMO_Region_4_North_and_Central_America/USA_United_States_of_America/ME_Maine/USA_ME_Frenchville-Northern.Aroostook.Rgnl.AP.726083_TMY3.zip</v>
      </c>
    </row>
    <row r="475" spans="1:10" x14ac:dyDescent="0.25">
      <c r="A475" t="s">
        <v>15</v>
      </c>
      <c r="B475" t="s">
        <v>506</v>
      </c>
      <c r="C475" t="s">
        <v>514</v>
      </c>
      <c r="D475">
        <v>727033</v>
      </c>
      <c r="E475" t="s">
        <v>13</v>
      </c>
      <c r="F475">
        <v>46.116999999999997</v>
      </c>
      <c r="G475">
        <v>-67.8</v>
      </c>
      <c r="H475">
        <v>-5</v>
      </c>
      <c r="I475">
        <v>150</v>
      </c>
      <c r="J475" t="str">
        <f>HYPERLINK("https://climate.onebuilding.org/WMO_Region_4_North_and_Central_America/USA_United_States_of_America/ME_Maine/USA_ME_Houlton.Intl.AP.727033_TMY3.zip")</f>
        <v>https://climate.onebuilding.org/WMO_Region_4_North_and_Central_America/USA_United_States_of_America/ME_Maine/USA_ME_Houlton.Intl.AP.727033_TMY3.zip</v>
      </c>
    </row>
    <row r="476" spans="1:10" x14ac:dyDescent="0.25">
      <c r="A476" t="s">
        <v>15</v>
      </c>
      <c r="B476" t="s">
        <v>506</v>
      </c>
      <c r="C476" t="s">
        <v>515</v>
      </c>
      <c r="D476">
        <v>726196</v>
      </c>
      <c r="E476" t="s">
        <v>13</v>
      </c>
      <c r="F476">
        <v>45.65</v>
      </c>
      <c r="G476">
        <v>-68.683000000000007</v>
      </c>
      <c r="H476">
        <v>-5</v>
      </c>
      <c r="I476">
        <v>124</v>
      </c>
      <c r="J476" t="str">
        <f>HYPERLINK("https://climate.onebuilding.org/WMO_Region_4_North_and_Central_America/USA_United_States_of_America/ME_Maine/USA_ME_Millinocket.Muni.AP.726196_TMY3.zip")</f>
        <v>https://climate.onebuilding.org/WMO_Region_4_North_and_Central_America/USA_United_States_of_America/ME_Maine/USA_ME_Millinocket.Muni.AP.726196_TMY3.zip</v>
      </c>
    </row>
    <row r="477" spans="1:10" x14ac:dyDescent="0.25">
      <c r="A477" t="s">
        <v>15</v>
      </c>
      <c r="B477" t="s">
        <v>506</v>
      </c>
      <c r="C477" t="s">
        <v>516</v>
      </c>
      <c r="D477">
        <v>726060</v>
      </c>
      <c r="E477" t="s">
        <v>13</v>
      </c>
      <c r="F477">
        <v>43.65</v>
      </c>
      <c r="G477">
        <v>-70.3</v>
      </c>
      <c r="H477">
        <v>-5</v>
      </c>
      <c r="I477">
        <v>14</v>
      </c>
      <c r="J477" t="str">
        <f>HYPERLINK("https://climate.onebuilding.org/WMO_Region_4_North_and_Central_America/USA_United_States_of_America/ME_Maine/USA_ME_Portland.Intl.Jetport.726060_TMY3.zip")</f>
        <v>https://climate.onebuilding.org/WMO_Region_4_North_and_Central_America/USA_United_States_of_America/ME_Maine/USA_ME_Portland.Intl.Jetport.726060_TMY3.zip</v>
      </c>
    </row>
    <row r="478" spans="1:10" x14ac:dyDescent="0.25">
      <c r="A478" t="s">
        <v>15</v>
      </c>
      <c r="B478" t="s">
        <v>506</v>
      </c>
      <c r="C478" t="s">
        <v>517</v>
      </c>
      <c r="D478">
        <v>727130</v>
      </c>
      <c r="E478" t="s">
        <v>13</v>
      </c>
      <c r="F478">
        <v>46.683</v>
      </c>
      <c r="G478">
        <v>-68.05</v>
      </c>
      <c r="H478">
        <v>-5</v>
      </c>
      <c r="I478">
        <v>163</v>
      </c>
      <c r="J478" t="str">
        <f>HYPERLINK("https://climate.onebuilding.org/WMO_Region_4_North_and_Central_America/USA_United_States_of_America/ME_Maine/USA_ME_Presque.Isle-Northern.Maine.Rgnl.AP.727130_TMY3.zip")</f>
        <v>https://climate.onebuilding.org/WMO_Region_4_North_and_Central_America/USA_United_States_of_America/ME_Maine/USA_ME_Presque.Isle-Northern.Maine.Rgnl.AP.727130_TMY3.zip</v>
      </c>
    </row>
    <row r="479" spans="1:10" x14ac:dyDescent="0.25">
      <c r="A479" t="s">
        <v>15</v>
      </c>
      <c r="B479" t="s">
        <v>506</v>
      </c>
      <c r="C479" t="s">
        <v>518</v>
      </c>
      <c r="D479">
        <v>726079</v>
      </c>
      <c r="E479" t="s">
        <v>13</v>
      </c>
      <c r="F479">
        <v>44.067</v>
      </c>
      <c r="G479">
        <v>-69.099999999999994</v>
      </c>
      <c r="H479">
        <v>-5</v>
      </c>
      <c r="I479">
        <v>17</v>
      </c>
      <c r="J479" t="str">
        <f>HYPERLINK("https://climate.onebuilding.org/WMO_Region_4_North_and_Central_America/USA_United_States_of_America/ME_Maine/USA_ME_Rockland-Knox.County.Rgnl.AP.726079_TMY3.zip")</f>
        <v>https://climate.onebuilding.org/WMO_Region_4_North_and_Central_America/USA_United_States_of_America/ME_Maine/USA_ME_Rockland-Knox.County.Rgnl.AP.726079_TMY3.zip</v>
      </c>
    </row>
    <row r="480" spans="1:10" x14ac:dyDescent="0.25">
      <c r="A480" t="s">
        <v>15</v>
      </c>
      <c r="B480" t="s">
        <v>506</v>
      </c>
      <c r="C480" t="s">
        <v>519</v>
      </c>
      <c r="D480">
        <v>726064</v>
      </c>
      <c r="E480" t="s">
        <v>13</v>
      </c>
      <c r="F480">
        <v>43.4</v>
      </c>
      <c r="G480">
        <v>-70.716999999999999</v>
      </c>
      <c r="H480">
        <v>-5</v>
      </c>
      <c r="I480">
        <v>74</v>
      </c>
      <c r="J480" t="str">
        <f>HYPERLINK("https://climate.onebuilding.org/WMO_Region_4_North_and_Central_America/USA_United_States_of_America/ME_Maine/USA_ME_Sanford.Seacoast.Rgnl.AP.726064_TMY3.zip")</f>
        <v>https://climate.onebuilding.org/WMO_Region_4_North_and_Central_America/USA_United_States_of_America/ME_Maine/USA_ME_Sanford.Seacoast.Rgnl.AP.726064_TMY3.zip</v>
      </c>
    </row>
    <row r="481" spans="1:10" x14ac:dyDescent="0.25">
      <c r="A481" t="s">
        <v>15</v>
      </c>
      <c r="B481" t="s">
        <v>506</v>
      </c>
      <c r="C481" t="s">
        <v>520</v>
      </c>
      <c r="D481">
        <v>726073</v>
      </c>
      <c r="E481" t="s">
        <v>13</v>
      </c>
      <c r="F481">
        <v>44.533000000000001</v>
      </c>
      <c r="G481">
        <v>-69.683000000000007</v>
      </c>
      <c r="H481">
        <v>-5</v>
      </c>
      <c r="I481">
        <v>101</v>
      </c>
      <c r="J481" t="str">
        <f>HYPERLINK("https://climate.onebuilding.org/WMO_Region_4_North_and_Central_America/USA_United_States_of_America/ME_Maine/USA_ME_Waterville.Lafleur.AP.726073_TMY3.zip")</f>
        <v>https://climate.onebuilding.org/WMO_Region_4_North_and_Central_America/USA_United_States_of_America/ME_Maine/USA_ME_Waterville.Lafleur.AP.726073_TMY3.zip</v>
      </c>
    </row>
    <row r="482" spans="1:10" x14ac:dyDescent="0.25">
      <c r="A482" t="s">
        <v>15</v>
      </c>
      <c r="B482" t="s">
        <v>506</v>
      </c>
      <c r="C482" t="s">
        <v>521</v>
      </c>
      <c r="D482">
        <v>727135</v>
      </c>
      <c r="E482" t="s">
        <v>13</v>
      </c>
      <c r="F482">
        <v>43.966999999999999</v>
      </c>
      <c r="G482">
        <v>-69.716999999999999</v>
      </c>
      <c r="H482">
        <v>-5</v>
      </c>
      <c r="I482">
        <v>21</v>
      </c>
      <c r="J482" t="str">
        <f>HYPERLINK("https://climate.onebuilding.org/WMO_Region_4_North_and_Central_America/USA_United_States_of_America/ME_Maine/USA_ME_Wiscasset.AP.727135_TMY3.zip")</f>
        <v>https://climate.onebuilding.org/WMO_Region_4_North_and_Central_America/USA_United_States_of_America/ME_Maine/USA_ME_Wiscasset.AP.727135_TMY3.zip</v>
      </c>
    </row>
    <row r="483" spans="1:10" x14ac:dyDescent="0.25">
      <c r="A483" t="s">
        <v>15</v>
      </c>
      <c r="B483" t="s">
        <v>522</v>
      </c>
      <c r="C483" t="s">
        <v>523</v>
      </c>
      <c r="D483">
        <v>726390</v>
      </c>
      <c r="E483" t="s">
        <v>13</v>
      </c>
      <c r="F483">
        <v>45.067</v>
      </c>
      <c r="G483">
        <v>-83.582999999999998</v>
      </c>
      <c r="H483">
        <v>-5</v>
      </c>
      <c r="I483">
        <v>210</v>
      </c>
      <c r="J483" t="str">
        <f>HYPERLINK("https://climate.onebuilding.org/WMO_Region_4_North_and_Central_America/USA_United_States_of_America/MI_Michigan/USA_MI_Alpena.County.Rgnl.AP.726390_TMY3.zip")</f>
        <v>https://climate.onebuilding.org/WMO_Region_4_North_and_Central_America/USA_United_States_of_America/MI_Michigan/USA_MI_Alpena.County.Rgnl.AP.726390_TMY3.zip</v>
      </c>
    </row>
    <row r="484" spans="1:10" x14ac:dyDescent="0.25">
      <c r="A484" t="s">
        <v>15</v>
      </c>
      <c r="B484" t="s">
        <v>522</v>
      </c>
      <c r="C484" t="s">
        <v>524</v>
      </c>
      <c r="D484">
        <v>725374</v>
      </c>
      <c r="E484" t="s">
        <v>13</v>
      </c>
      <c r="F484">
        <v>42.216999999999999</v>
      </c>
      <c r="G484">
        <v>-83.75</v>
      </c>
      <c r="H484">
        <v>-5</v>
      </c>
      <c r="I484">
        <v>256</v>
      </c>
      <c r="J484" t="str">
        <f>HYPERLINK("https://climate.onebuilding.org/WMO_Region_4_North_and_Central_America/USA_United_States_of_America/MI_Michigan/USA_MI_Ann.Arbor.Muni.AP.725374_TMY3.zip")</f>
        <v>https://climate.onebuilding.org/WMO_Region_4_North_and_Central_America/USA_United_States_of_America/MI_Michigan/USA_MI_Ann.Arbor.Muni.AP.725374_TMY3.zip</v>
      </c>
    </row>
    <row r="485" spans="1:10" x14ac:dyDescent="0.25">
      <c r="A485" t="s">
        <v>15</v>
      </c>
      <c r="B485" t="s">
        <v>522</v>
      </c>
      <c r="C485" t="s">
        <v>525</v>
      </c>
      <c r="D485">
        <v>725396</v>
      </c>
      <c r="E485" t="s">
        <v>13</v>
      </c>
      <c r="F485">
        <v>42.3</v>
      </c>
      <c r="G485">
        <v>-85.25</v>
      </c>
      <c r="H485">
        <v>-5</v>
      </c>
      <c r="I485">
        <v>283</v>
      </c>
      <c r="J485" t="str">
        <f>HYPERLINK("https://climate.onebuilding.org/WMO_Region_4_North_and_Central_America/USA_United_States_of_America/MI_Michigan/USA_MI_Battle.Creek-Kellogg.AP.725396_TMY3.zip")</f>
        <v>https://climate.onebuilding.org/WMO_Region_4_North_and_Central_America/USA_United_States_of_America/MI_Michigan/USA_MI_Battle.Creek-Kellogg.AP.725396_TMY3.zip</v>
      </c>
    </row>
    <row r="486" spans="1:10" x14ac:dyDescent="0.25">
      <c r="A486" t="s">
        <v>15</v>
      </c>
      <c r="B486" t="s">
        <v>522</v>
      </c>
      <c r="C486" t="s">
        <v>526</v>
      </c>
      <c r="D486">
        <v>726355</v>
      </c>
      <c r="E486" t="s">
        <v>13</v>
      </c>
      <c r="F486">
        <v>42.133000000000003</v>
      </c>
      <c r="G486">
        <v>-86.433000000000007</v>
      </c>
      <c r="H486">
        <v>-5</v>
      </c>
      <c r="I486">
        <v>196</v>
      </c>
      <c r="J486" t="str">
        <f>HYPERLINK("https://climate.onebuilding.org/WMO_Region_4_North_and_Central_America/USA_United_States_of_America/MI_Michigan/USA_MI_Benton.Harbor-Southwest.Michigan.Rgnl.AP.726355_TMY3.zip")</f>
        <v>https://climate.onebuilding.org/WMO_Region_4_North_and_Central_America/USA_United_States_of_America/MI_Michigan/USA_MI_Benton.Harbor-Southwest.Michigan.Rgnl.AP.726355_TMY3.zip</v>
      </c>
    </row>
    <row r="487" spans="1:10" x14ac:dyDescent="0.25">
      <c r="A487" t="s">
        <v>15</v>
      </c>
      <c r="B487" t="s">
        <v>522</v>
      </c>
      <c r="C487" t="s">
        <v>527</v>
      </c>
      <c r="D487">
        <v>726384</v>
      </c>
      <c r="E487" t="s">
        <v>13</v>
      </c>
      <c r="F487">
        <v>44.283000000000001</v>
      </c>
      <c r="G487">
        <v>-85.417000000000002</v>
      </c>
      <c r="H487">
        <v>-5</v>
      </c>
      <c r="I487">
        <v>396</v>
      </c>
      <c r="J487" t="str">
        <f>HYPERLINK("https://climate.onebuilding.org/WMO_Region_4_North_and_Central_America/USA_United_States_of_America/MI_Michigan/USA_MI_Cadillac-Wexford.County.AP.726384_TMY3.zip")</f>
        <v>https://climate.onebuilding.org/WMO_Region_4_North_and_Central_America/USA_United_States_of_America/MI_Michigan/USA_MI_Cadillac-Wexford.County.AP.726384_TMY3.zip</v>
      </c>
    </row>
    <row r="488" spans="1:10" x14ac:dyDescent="0.25">
      <c r="A488" t="s">
        <v>15</v>
      </c>
      <c r="B488" t="s">
        <v>522</v>
      </c>
      <c r="C488" t="s">
        <v>528</v>
      </c>
      <c r="D488">
        <v>727344</v>
      </c>
      <c r="E488" t="s">
        <v>13</v>
      </c>
      <c r="F488">
        <v>46.25</v>
      </c>
      <c r="G488">
        <v>-84.466999999999999</v>
      </c>
      <c r="H488">
        <v>-5</v>
      </c>
      <c r="I488">
        <v>250</v>
      </c>
      <c r="J488" t="str">
        <f>HYPERLINK("https://climate.onebuilding.org/WMO_Region_4_North_and_Central_America/USA_United_States_of_America/MI_Michigan/USA_MI_Sault.Ste.Marie-Chippewa.County.Intl.AP.727344_TMY3.zip")</f>
        <v>https://climate.onebuilding.org/WMO_Region_4_North_and_Central_America/USA_United_States_of_America/MI_Michigan/USA_MI_Sault.Ste.Marie-Chippewa.County.Intl.AP.727344_TMY3.zip</v>
      </c>
    </row>
    <row r="489" spans="1:10" x14ac:dyDescent="0.25">
      <c r="A489" t="s">
        <v>15</v>
      </c>
      <c r="B489" t="s">
        <v>522</v>
      </c>
      <c r="C489" t="s">
        <v>529</v>
      </c>
      <c r="D489">
        <v>725375</v>
      </c>
      <c r="E489" t="s">
        <v>13</v>
      </c>
      <c r="F489">
        <v>42.4</v>
      </c>
      <c r="G489">
        <v>-83</v>
      </c>
      <c r="H489">
        <v>-5</v>
      </c>
      <c r="I489">
        <v>190</v>
      </c>
      <c r="J489" t="str">
        <f>HYPERLINK("https://climate.onebuilding.org/WMO_Region_4_North_and_Central_America/USA_United_States_of_America/MI_Michigan/USA_MI_Detroit-Young.Intl.AP.725375_TMY3.zip")</f>
        <v>https://climate.onebuilding.org/WMO_Region_4_North_and_Central_America/USA_United_States_of_America/MI_Michigan/USA_MI_Detroit-Young.Intl.AP.725375_TMY3.zip</v>
      </c>
    </row>
    <row r="490" spans="1:10" x14ac:dyDescent="0.25">
      <c r="A490" t="s">
        <v>15</v>
      </c>
      <c r="B490" t="s">
        <v>522</v>
      </c>
      <c r="C490" t="s">
        <v>530</v>
      </c>
      <c r="D490">
        <v>725376</v>
      </c>
      <c r="E490" t="s">
        <v>13</v>
      </c>
      <c r="F490">
        <v>42.232999999999997</v>
      </c>
      <c r="G490">
        <v>-83.533000000000001</v>
      </c>
      <c r="H490">
        <v>-5</v>
      </c>
      <c r="I490">
        <v>218</v>
      </c>
      <c r="J490" t="str">
        <f>HYPERLINK("https://climate.onebuilding.org/WMO_Region_4_North_and_Central_America/USA_United_States_of_America/MI_Michigan/USA_MI_Ypsilanti-Willow.Run.AP.725376_TMY3.zip")</f>
        <v>https://climate.onebuilding.org/WMO_Region_4_North_and_Central_America/USA_United_States_of_America/MI_Michigan/USA_MI_Ypsilanti-Willow.Run.AP.725376_TMY3.zip</v>
      </c>
    </row>
    <row r="491" spans="1:10" x14ac:dyDescent="0.25">
      <c r="A491" t="s">
        <v>15</v>
      </c>
      <c r="B491" t="s">
        <v>522</v>
      </c>
      <c r="C491" t="s">
        <v>531</v>
      </c>
      <c r="D491">
        <v>725370</v>
      </c>
      <c r="E491" t="s">
        <v>13</v>
      </c>
      <c r="F491">
        <v>42.216999999999999</v>
      </c>
      <c r="G491">
        <v>-83.35</v>
      </c>
      <c r="H491">
        <v>-5</v>
      </c>
      <c r="I491">
        <v>194</v>
      </c>
      <c r="J491" t="str">
        <f>HYPERLINK("https://climate.onebuilding.org/WMO_Region_4_North_and_Central_America/USA_United_States_of_America/MI_Michigan/USA_MI_Detroit.Metro.Wayne.County.AP.725370_TMY3.zip")</f>
        <v>https://climate.onebuilding.org/WMO_Region_4_North_and_Central_America/USA_United_States_of_America/MI_Michigan/USA_MI_Detroit.Metro.Wayne.County.AP.725370_TMY3.zip</v>
      </c>
    </row>
    <row r="492" spans="1:10" x14ac:dyDescent="0.25">
      <c r="A492" t="s">
        <v>15</v>
      </c>
      <c r="B492" t="s">
        <v>522</v>
      </c>
      <c r="C492" t="s">
        <v>532</v>
      </c>
      <c r="D492">
        <v>726480</v>
      </c>
      <c r="E492" t="s">
        <v>13</v>
      </c>
      <c r="F492">
        <v>45.722000000000001</v>
      </c>
      <c r="G492">
        <v>-87.1</v>
      </c>
      <c r="H492">
        <v>-5</v>
      </c>
      <c r="I492">
        <v>187</v>
      </c>
      <c r="J492" t="str">
        <f>HYPERLINK("https://climate.onebuilding.org/WMO_Region_4_North_and_Central_America/USA_United_States_of_America/MI_Michigan/USA_MI_Escanaba-Delta.County.AP.726480_TMY3.zip")</f>
        <v>https://climate.onebuilding.org/WMO_Region_4_North_and_Central_America/USA_United_States_of_America/MI_Michigan/USA_MI_Escanaba-Delta.County.AP.726480_TMY3.zip</v>
      </c>
    </row>
    <row r="493" spans="1:10" x14ac:dyDescent="0.25">
      <c r="A493" t="s">
        <v>15</v>
      </c>
      <c r="B493" t="s">
        <v>522</v>
      </c>
      <c r="C493" t="s">
        <v>533</v>
      </c>
      <c r="D493">
        <v>726370</v>
      </c>
      <c r="E493" t="s">
        <v>13</v>
      </c>
      <c r="F493">
        <v>42.966999999999999</v>
      </c>
      <c r="G493">
        <v>-83.75</v>
      </c>
      <c r="H493">
        <v>-5</v>
      </c>
      <c r="I493">
        <v>234</v>
      </c>
      <c r="J493" t="str">
        <f>HYPERLINK("https://climate.onebuilding.org/WMO_Region_4_North_and_Central_America/USA_United_States_of_America/MI_Michigan/USA_MI_Flint-Bishop.Intl.AP.726370_TMY3.zip")</f>
        <v>https://climate.onebuilding.org/WMO_Region_4_North_and_Central_America/USA_United_States_of_America/MI_Michigan/USA_MI_Flint-Bishop.Intl.AP.726370_TMY3.zip</v>
      </c>
    </row>
    <row r="494" spans="1:10" x14ac:dyDescent="0.25">
      <c r="A494" t="s">
        <v>15</v>
      </c>
      <c r="B494" t="s">
        <v>522</v>
      </c>
      <c r="C494" t="s">
        <v>534</v>
      </c>
      <c r="D494">
        <v>726350</v>
      </c>
      <c r="E494" t="s">
        <v>13</v>
      </c>
      <c r="F494">
        <v>42.883000000000003</v>
      </c>
      <c r="G494">
        <v>-85.516999999999996</v>
      </c>
      <c r="H494">
        <v>-5</v>
      </c>
      <c r="I494">
        <v>242</v>
      </c>
      <c r="J494" t="str">
        <f>HYPERLINK("https://climate.onebuilding.org/WMO_Region_4_North_and_Central_America/USA_United_States_of_America/MI_Michigan/USA_MI_Grand.Rapids-Ford.Intl.AP.726350_TMY3.zip")</f>
        <v>https://climate.onebuilding.org/WMO_Region_4_North_and_Central_America/USA_United_States_of_America/MI_Michigan/USA_MI_Grand.Rapids-Ford.Intl.AP.726350_TMY3.zip</v>
      </c>
    </row>
    <row r="495" spans="1:10" x14ac:dyDescent="0.25">
      <c r="A495" t="s">
        <v>15</v>
      </c>
      <c r="B495" t="s">
        <v>522</v>
      </c>
      <c r="C495" t="s">
        <v>535</v>
      </c>
      <c r="D495">
        <v>727440</v>
      </c>
      <c r="E495" t="s">
        <v>13</v>
      </c>
      <c r="F495">
        <v>47.167000000000002</v>
      </c>
      <c r="G495">
        <v>-88.5</v>
      </c>
      <c r="H495">
        <v>-5</v>
      </c>
      <c r="I495">
        <v>327</v>
      </c>
      <c r="J495" t="str">
        <f>HYPERLINK("https://climate.onebuilding.org/WMO_Region_4_North_and_Central_America/USA_United_States_of_America/MI_Michigan/USA_MI_Hancock-Houghton.County.Meml.AP.727440_TMY3.zip")</f>
        <v>https://climate.onebuilding.org/WMO_Region_4_North_and_Central_America/USA_United_States_of_America/MI_Michigan/USA_MI_Hancock-Houghton.County.Meml.AP.727440_TMY3.zip</v>
      </c>
    </row>
    <row r="496" spans="1:10" x14ac:dyDescent="0.25">
      <c r="A496" t="s">
        <v>15</v>
      </c>
      <c r="B496" t="s">
        <v>522</v>
      </c>
      <c r="C496" t="s">
        <v>536</v>
      </c>
      <c r="D496">
        <v>726380</v>
      </c>
      <c r="E496" t="s">
        <v>13</v>
      </c>
      <c r="F496">
        <v>44.366999999999997</v>
      </c>
      <c r="G496">
        <v>-84.683000000000007</v>
      </c>
      <c r="H496">
        <v>-5</v>
      </c>
      <c r="I496">
        <v>351</v>
      </c>
      <c r="J496" t="str">
        <f>HYPERLINK("https://climate.onebuilding.org/WMO_Region_4_North_and_Central_America/USA_United_States_of_America/MI_Michigan/USA_MI_Houghton.Lake-Roscommon.County.AP.726380_TMY3.zip")</f>
        <v>https://climate.onebuilding.org/WMO_Region_4_North_and_Central_America/USA_United_States_of_America/MI_Michigan/USA_MI_Houghton.Lake-Roscommon.County.AP.726380_TMY3.zip</v>
      </c>
    </row>
    <row r="497" spans="1:10" x14ac:dyDescent="0.25">
      <c r="A497" t="s">
        <v>15</v>
      </c>
      <c r="B497" t="s">
        <v>522</v>
      </c>
      <c r="C497" t="s">
        <v>537</v>
      </c>
      <c r="D497">
        <v>725378</v>
      </c>
      <c r="E497" t="s">
        <v>13</v>
      </c>
      <c r="F497">
        <v>42.633000000000003</v>
      </c>
      <c r="G497">
        <v>-83.983000000000004</v>
      </c>
      <c r="H497">
        <v>-5</v>
      </c>
      <c r="I497">
        <v>293</v>
      </c>
      <c r="J497" t="str">
        <f>HYPERLINK("https://climate.onebuilding.org/WMO_Region_4_North_and_Central_America/USA_United_States_of_America/MI_Michigan/USA_MI_Howell-Livingston.County.Hardy.AP.725378_TMY3.zip")</f>
        <v>https://climate.onebuilding.org/WMO_Region_4_North_and_Central_America/USA_United_States_of_America/MI_Michigan/USA_MI_Howell-Livingston.County.Hardy.AP.725378_TMY3.zip</v>
      </c>
    </row>
    <row r="498" spans="1:10" x14ac:dyDescent="0.25">
      <c r="A498" t="s">
        <v>15</v>
      </c>
      <c r="B498" t="s">
        <v>522</v>
      </c>
      <c r="C498" t="s">
        <v>538</v>
      </c>
      <c r="D498">
        <v>727437</v>
      </c>
      <c r="E498" t="s">
        <v>13</v>
      </c>
      <c r="F498">
        <v>45.817</v>
      </c>
      <c r="G498">
        <v>-88.117000000000004</v>
      </c>
      <c r="H498">
        <v>-6</v>
      </c>
      <c r="I498">
        <v>360</v>
      </c>
      <c r="J498" t="str">
        <f>HYPERLINK("https://climate.onebuilding.org/WMO_Region_4_North_and_Central_America/USA_United_States_of_America/MI_Michigan/USA_MI_Iron.Mountain-Ford.AP.727437_TMY3.zip")</f>
        <v>https://climate.onebuilding.org/WMO_Region_4_North_and_Central_America/USA_United_States_of_America/MI_Michigan/USA_MI_Iron.Mountain-Ford.AP.727437_TMY3.zip</v>
      </c>
    </row>
    <row r="499" spans="1:10" x14ac:dyDescent="0.25">
      <c r="A499" t="s">
        <v>15</v>
      </c>
      <c r="B499" t="s">
        <v>522</v>
      </c>
      <c r="C499" t="s">
        <v>539</v>
      </c>
      <c r="D499">
        <v>727445</v>
      </c>
      <c r="E499" t="s">
        <v>13</v>
      </c>
      <c r="F499">
        <v>46.533000000000001</v>
      </c>
      <c r="G499">
        <v>-90.132999999999996</v>
      </c>
      <c r="H499">
        <v>-6</v>
      </c>
      <c r="I499">
        <v>375</v>
      </c>
      <c r="J499" t="str">
        <f>HYPERLINK("https://climate.onebuilding.org/WMO_Region_4_North_and_Central_America/USA_United_States_of_America/MI_Michigan/USA_MI_Ironwood-Gogebic-Iron.County.AP.727445_TMY3.zip")</f>
        <v>https://climate.onebuilding.org/WMO_Region_4_North_and_Central_America/USA_United_States_of_America/MI_Michigan/USA_MI_Ironwood-Gogebic-Iron.County.AP.727445_TMY3.zip</v>
      </c>
    </row>
    <row r="500" spans="1:10" x14ac:dyDescent="0.25">
      <c r="A500" t="s">
        <v>15</v>
      </c>
      <c r="B500" t="s">
        <v>522</v>
      </c>
      <c r="C500" t="s">
        <v>540</v>
      </c>
      <c r="D500">
        <v>725395</v>
      </c>
      <c r="E500" t="s">
        <v>13</v>
      </c>
      <c r="F500">
        <v>42.267000000000003</v>
      </c>
      <c r="G500">
        <v>-84.466999999999999</v>
      </c>
      <c r="H500">
        <v>-5</v>
      </c>
      <c r="I500">
        <v>304</v>
      </c>
      <c r="J500" t="str">
        <f>HYPERLINK("https://climate.onebuilding.org/WMO_Region_4_North_and_Central_America/USA_United_States_of_America/MI_Michigan/USA_MI_Jackson-Jackson.County.AP-Reynolds.Field.725395_TMY3.zip")</f>
        <v>https://climate.onebuilding.org/WMO_Region_4_North_and_Central_America/USA_United_States_of_America/MI_Michigan/USA_MI_Jackson-Jackson.County.AP-Reynolds.Field.725395_TMY3.zip</v>
      </c>
    </row>
    <row r="501" spans="1:10" x14ac:dyDescent="0.25">
      <c r="A501" t="s">
        <v>15</v>
      </c>
      <c r="B501" t="s">
        <v>522</v>
      </c>
      <c r="C501" t="s">
        <v>541</v>
      </c>
      <c r="D501">
        <v>726357</v>
      </c>
      <c r="E501" t="s">
        <v>13</v>
      </c>
      <c r="F501">
        <v>42.232999999999997</v>
      </c>
      <c r="G501">
        <v>-85.55</v>
      </c>
      <c r="H501">
        <v>-5</v>
      </c>
      <c r="I501">
        <v>273</v>
      </c>
      <c r="J501" t="str">
        <f>HYPERLINK("https://climate.onebuilding.org/WMO_Region_4_North_and_Central_America/USA_United_States_of_America/MI_Michigan/USA_MI_Kalamazoo-Battle.Creek.Intl.AP.726357_TMY3.zip")</f>
        <v>https://climate.onebuilding.org/WMO_Region_4_North_and_Central_America/USA_United_States_of_America/MI_Michigan/USA_MI_Kalamazoo-Battle.Creek.Intl.AP.726357_TMY3.zip</v>
      </c>
    </row>
    <row r="502" spans="1:10" x14ac:dyDescent="0.25">
      <c r="A502" t="s">
        <v>15</v>
      </c>
      <c r="B502" t="s">
        <v>522</v>
      </c>
      <c r="C502" t="s">
        <v>542</v>
      </c>
      <c r="D502">
        <v>725390</v>
      </c>
      <c r="E502" t="s">
        <v>13</v>
      </c>
      <c r="F502">
        <v>42.783000000000001</v>
      </c>
      <c r="G502">
        <v>-84.582999999999998</v>
      </c>
      <c r="H502">
        <v>-5</v>
      </c>
      <c r="I502">
        <v>256</v>
      </c>
      <c r="J502" t="str">
        <f>HYPERLINK("https://climate.onebuilding.org/WMO_Region_4_North_and_Central_America/USA_United_States_of_America/MI_Michigan/USA_MI_Lansing.Capital.Region.Intl.AP.725390_TMY3.zip")</f>
        <v>https://climate.onebuilding.org/WMO_Region_4_North_and_Central_America/USA_United_States_of_America/MI_Michigan/USA_MI_Lansing.Capital.Region.Intl.AP.725390_TMY3.zip</v>
      </c>
    </row>
    <row r="503" spans="1:10" x14ac:dyDescent="0.25">
      <c r="A503" t="s">
        <v>15</v>
      </c>
      <c r="B503" t="s">
        <v>522</v>
      </c>
      <c r="C503" t="s">
        <v>543</v>
      </c>
      <c r="D503">
        <v>726385</v>
      </c>
      <c r="E503" t="s">
        <v>13</v>
      </c>
      <c r="F503">
        <v>44.267000000000003</v>
      </c>
      <c r="G503">
        <v>-86.25</v>
      </c>
      <c r="H503">
        <v>-5</v>
      </c>
      <c r="I503">
        <v>189</v>
      </c>
      <c r="J503" t="str">
        <f>HYPERLINK("https://climate.onebuilding.org/WMO_Region_4_North_and_Central_America/USA_United_States_of_America/MI_Michigan/USA_MI_Manistee-Manistee.County-Blacker.AP.726385_TMY3.zip")</f>
        <v>https://climate.onebuilding.org/WMO_Region_4_North_and_Central_America/USA_United_States_of_America/MI_Michigan/USA_MI_Manistee-Manistee.County-Blacker.AP.726385_TMY3.zip</v>
      </c>
    </row>
    <row r="504" spans="1:10" x14ac:dyDescent="0.25">
      <c r="A504" t="s">
        <v>15</v>
      </c>
      <c r="B504" t="s">
        <v>522</v>
      </c>
      <c r="C504" t="s">
        <v>544</v>
      </c>
      <c r="D504">
        <v>726487</v>
      </c>
      <c r="E504" t="s">
        <v>13</v>
      </c>
      <c r="F504">
        <v>45.133000000000003</v>
      </c>
      <c r="G504">
        <v>-87.632999999999996</v>
      </c>
      <c r="H504">
        <v>-6</v>
      </c>
      <c r="I504">
        <v>191</v>
      </c>
      <c r="J504" t="str">
        <f>HYPERLINK("https://climate.onebuilding.org/WMO_Region_4_North_and_Central_America/USA_United_States_of_America/MI_Michigan/USA_MI_Menominee-Marinette.Twin.County.AP.726487_TMY3.zip")</f>
        <v>https://climate.onebuilding.org/WMO_Region_4_North_and_Central_America/USA_United_States_of_America/MI_Michigan/USA_MI_Menominee-Marinette.Twin.County.AP.726487_TMY3.zip</v>
      </c>
    </row>
    <row r="505" spans="1:10" x14ac:dyDescent="0.25">
      <c r="A505" t="s">
        <v>15</v>
      </c>
      <c r="B505" t="s">
        <v>522</v>
      </c>
      <c r="C505" t="s">
        <v>545</v>
      </c>
      <c r="D505">
        <v>725377</v>
      </c>
      <c r="E505" t="s">
        <v>13</v>
      </c>
      <c r="F505">
        <v>42.616999999999997</v>
      </c>
      <c r="G505">
        <v>-82.832999999999998</v>
      </c>
      <c r="H505">
        <v>-5</v>
      </c>
      <c r="I505">
        <v>177</v>
      </c>
      <c r="J505" t="str">
        <f>HYPERLINK("https://climate.onebuilding.org/WMO_Region_4_North_and_Central_America/USA_United_States_of_America/MI_Michigan/USA_MI_Mount.Clemens-Selfridge.ANGB.725377_TMY3.zip")</f>
        <v>https://climate.onebuilding.org/WMO_Region_4_North_and_Central_America/USA_United_States_of_America/MI_Michigan/USA_MI_Mount.Clemens-Selfridge.ANGB.725377_TMY3.zip</v>
      </c>
    </row>
    <row r="506" spans="1:10" x14ac:dyDescent="0.25">
      <c r="A506" t="s">
        <v>15</v>
      </c>
      <c r="B506" t="s">
        <v>522</v>
      </c>
      <c r="C506" t="s">
        <v>546</v>
      </c>
      <c r="D506">
        <v>726360</v>
      </c>
      <c r="E506" t="s">
        <v>13</v>
      </c>
      <c r="F506">
        <v>43.167000000000002</v>
      </c>
      <c r="G506">
        <v>-86.233000000000004</v>
      </c>
      <c r="H506">
        <v>-5</v>
      </c>
      <c r="I506">
        <v>190</v>
      </c>
      <c r="J506" t="str">
        <f>HYPERLINK("https://climate.onebuilding.org/WMO_Region_4_North_and_Central_America/USA_United_States_of_America/MI_Michigan/USA_MI_Muskegon-Muskegon.County.AP.726360_TMY3.zip")</f>
        <v>https://climate.onebuilding.org/WMO_Region_4_North_and_Central_America/USA_United_States_of_America/MI_Michigan/USA_MI_Muskegon-Muskegon.County.AP.726360_TMY3.zip</v>
      </c>
    </row>
    <row r="507" spans="1:10" x14ac:dyDescent="0.25">
      <c r="A507" t="s">
        <v>15</v>
      </c>
      <c r="B507" t="s">
        <v>522</v>
      </c>
      <c r="C507" t="s">
        <v>547</v>
      </c>
      <c r="D507">
        <v>726375</v>
      </c>
      <c r="E507" t="s">
        <v>13</v>
      </c>
      <c r="F507">
        <v>42.667000000000002</v>
      </c>
      <c r="G507">
        <v>-83.417000000000002</v>
      </c>
      <c r="H507">
        <v>-5</v>
      </c>
      <c r="I507">
        <v>306</v>
      </c>
      <c r="J507" t="str">
        <f>HYPERLINK("https://climate.onebuilding.org/WMO_Region_4_North_and_Central_America/USA_United_States_of_America/MI_Michigan/USA_MI_Pontiac-Oakland.County.Intl.AP.726375_TMY3.zip")</f>
        <v>https://climate.onebuilding.org/WMO_Region_4_North_and_Central_America/USA_United_States_of_America/MI_Michigan/USA_MI_Pontiac-Oakland.County.Intl.AP.726375_TMY3.zip</v>
      </c>
    </row>
    <row r="508" spans="1:10" x14ac:dyDescent="0.25">
      <c r="A508" t="s">
        <v>15</v>
      </c>
      <c r="B508" t="s">
        <v>522</v>
      </c>
      <c r="C508" t="s">
        <v>548</v>
      </c>
      <c r="D508">
        <v>726395</v>
      </c>
      <c r="E508" t="s">
        <v>13</v>
      </c>
      <c r="F508">
        <v>44.45</v>
      </c>
      <c r="G508">
        <v>-83.4</v>
      </c>
      <c r="H508">
        <v>-5</v>
      </c>
      <c r="I508">
        <v>188</v>
      </c>
      <c r="J508" t="str">
        <f>HYPERLINK("https://climate.onebuilding.org/WMO_Region_4_North_and_Central_America/USA_United_States_of_America/MI_Michigan/USA_MI_Oscoda-Wurtsmith.AP.726395_TMY3.zip")</f>
        <v>https://climate.onebuilding.org/WMO_Region_4_North_and_Central_America/USA_United_States_of_America/MI_Michigan/USA_MI_Oscoda-Wurtsmith.AP.726395_TMY3.zip</v>
      </c>
    </row>
    <row r="509" spans="1:10" x14ac:dyDescent="0.25">
      <c r="A509" t="s">
        <v>15</v>
      </c>
      <c r="B509" t="s">
        <v>522</v>
      </c>
      <c r="C509" t="s">
        <v>549</v>
      </c>
      <c r="D509">
        <v>727347</v>
      </c>
      <c r="E509" t="s">
        <v>13</v>
      </c>
      <c r="F509">
        <v>45.567</v>
      </c>
      <c r="G509">
        <v>-84.783000000000001</v>
      </c>
      <c r="H509">
        <v>-5</v>
      </c>
      <c r="I509">
        <v>218</v>
      </c>
      <c r="J509" t="str">
        <f>HYPERLINK("https://climate.onebuilding.org/WMO_Region_4_North_and_Central_America/USA_United_States_of_America/MI_Michigan/USA_MI_Pellston.Rgnl.AP.727347_TMY3.zip")</f>
        <v>https://climate.onebuilding.org/WMO_Region_4_North_and_Central_America/USA_United_States_of_America/MI_Michigan/USA_MI_Pellston.Rgnl.AP.727347_TMY3.zip</v>
      </c>
    </row>
    <row r="510" spans="1:10" x14ac:dyDescent="0.25">
      <c r="A510" t="s">
        <v>15</v>
      </c>
      <c r="B510" t="s">
        <v>522</v>
      </c>
      <c r="C510" t="s">
        <v>550</v>
      </c>
      <c r="D510">
        <v>726379</v>
      </c>
      <c r="E510" t="s">
        <v>13</v>
      </c>
      <c r="F510">
        <v>43.533000000000001</v>
      </c>
      <c r="G510">
        <v>-84.082999999999998</v>
      </c>
      <c r="H510">
        <v>-5</v>
      </c>
      <c r="I510">
        <v>201</v>
      </c>
      <c r="J510" t="str">
        <f>HYPERLINK("https://climate.onebuilding.org/WMO_Region_4_North_and_Central_America/USA_United_States_of_America/MI_Michigan/USA_MI_Saginaw-MBS.Intl.AP.726379_TMY3.zip")</f>
        <v>https://climate.onebuilding.org/WMO_Region_4_North_and_Central_America/USA_United_States_of_America/MI_Michigan/USA_MI_Saginaw-MBS.Intl.AP.726379_TMY3.zip</v>
      </c>
    </row>
    <row r="511" spans="1:10" x14ac:dyDescent="0.25">
      <c r="A511" t="s">
        <v>15</v>
      </c>
      <c r="B511" t="s">
        <v>522</v>
      </c>
      <c r="C511" t="s">
        <v>551</v>
      </c>
      <c r="D511">
        <v>727340</v>
      </c>
      <c r="E511" t="s">
        <v>13</v>
      </c>
      <c r="F511">
        <v>46.466999999999999</v>
      </c>
      <c r="G511">
        <v>-84.35</v>
      </c>
      <c r="H511">
        <v>-5</v>
      </c>
      <c r="I511">
        <v>219</v>
      </c>
      <c r="J511" t="str">
        <f>HYPERLINK("https://climate.onebuilding.org/WMO_Region_4_North_and_Central_America/USA_United_States_of_America/MI_Michigan/USA_MI_Sault.Ste.Marie.Muni.AP-Sanderson.Field.727340_TMY3.zip")</f>
        <v>https://climate.onebuilding.org/WMO_Region_4_North_and_Central_America/USA_United_States_of_America/MI_Michigan/USA_MI_Sault.Ste.Marie.Muni.AP-Sanderson.Field.727340_TMY3.zip</v>
      </c>
    </row>
    <row r="512" spans="1:10" x14ac:dyDescent="0.25">
      <c r="A512" t="s">
        <v>15</v>
      </c>
      <c r="B512" t="s">
        <v>522</v>
      </c>
      <c r="C512" t="s">
        <v>552</v>
      </c>
      <c r="D512">
        <v>725384</v>
      </c>
      <c r="E512" t="s">
        <v>13</v>
      </c>
      <c r="F512">
        <v>42.917000000000002</v>
      </c>
      <c r="G512">
        <v>-82.533000000000001</v>
      </c>
      <c r="H512">
        <v>-5</v>
      </c>
      <c r="I512">
        <v>198</v>
      </c>
      <c r="J512" t="str">
        <f>HYPERLINK("https://climate.onebuilding.org/WMO_Region_4_North_and_Central_America/USA_United_States_of_America/MI_Michigan/USA_MI_Port.Huron-St.Clair.County.Intl.AP.725384_TMY3.zip")</f>
        <v>https://climate.onebuilding.org/WMO_Region_4_North_and_Central_America/USA_United_States_of_America/MI_Michigan/USA_MI_Port.Huron-St.Clair.County.Intl.AP.725384_TMY3.zip</v>
      </c>
    </row>
    <row r="513" spans="1:10" x14ac:dyDescent="0.25">
      <c r="A513" t="s">
        <v>15</v>
      </c>
      <c r="B513" t="s">
        <v>522</v>
      </c>
      <c r="C513" t="s">
        <v>553</v>
      </c>
      <c r="D513">
        <v>726387</v>
      </c>
      <c r="E513" t="s">
        <v>13</v>
      </c>
      <c r="F513">
        <v>44.732999999999997</v>
      </c>
      <c r="G513">
        <v>-85.582999999999998</v>
      </c>
      <c r="H513">
        <v>-5</v>
      </c>
      <c r="I513">
        <v>188</v>
      </c>
      <c r="J513" t="str">
        <f>HYPERLINK("https://climate.onebuilding.org/WMO_Region_4_North_and_Central_America/USA_United_States_of_America/MI_Michigan/USA_MI_Traverse.City-Cherry.Capital.AP.726387_TMY3.zip")</f>
        <v>https://climate.onebuilding.org/WMO_Region_4_North_and_Central_America/USA_United_States_of_America/MI_Michigan/USA_MI_Traverse.City-Cherry.Capital.AP.726387_TMY3.zip</v>
      </c>
    </row>
    <row r="514" spans="1:10" x14ac:dyDescent="0.25">
      <c r="A514" t="s">
        <v>15</v>
      </c>
      <c r="B514" t="s">
        <v>554</v>
      </c>
      <c r="C514" t="s">
        <v>555</v>
      </c>
      <c r="D514">
        <v>727504</v>
      </c>
      <c r="E514" t="s">
        <v>13</v>
      </c>
      <c r="F514">
        <v>46.55</v>
      </c>
      <c r="G514">
        <v>-93.683000000000007</v>
      </c>
      <c r="H514">
        <v>-6</v>
      </c>
      <c r="I514">
        <v>367</v>
      </c>
      <c r="J514" t="str">
        <f>HYPERLINK("https://climate.onebuilding.org/WMO_Region_4_North_and_Central_America/USA_United_States_of_America/MN_Minnesota/USA_MN_Aitkin.Muni.AP.727504_TMY3.zip")</f>
        <v>https://climate.onebuilding.org/WMO_Region_4_North_and_Central_America/USA_United_States_of_America/MN_Minnesota/USA_MN_Aitkin.Muni.AP.727504_TMY3.zip</v>
      </c>
    </row>
    <row r="515" spans="1:10" x14ac:dyDescent="0.25">
      <c r="A515" t="s">
        <v>15</v>
      </c>
      <c r="B515" t="s">
        <v>554</v>
      </c>
      <c r="C515" t="s">
        <v>556</v>
      </c>
      <c r="D515">
        <v>726589</v>
      </c>
      <c r="E515" t="s">
        <v>13</v>
      </c>
      <c r="F515">
        <v>43.683</v>
      </c>
      <c r="G515">
        <v>-93.367000000000004</v>
      </c>
      <c r="H515">
        <v>-6</v>
      </c>
      <c r="I515">
        <v>383</v>
      </c>
      <c r="J515" t="str">
        <f>HYPERLINK("https://climate.onebuilding.org/WMO_Region_4_North_and_Central_America/USA_United_States_of_America/MN_Minnesota/USA_MN_Albert.Lea.Muni.AP.726589_TMY3.zip")</f>
        <v>https://climate.onebuilding.org/WMO_Region_4_North_and_Central_America/USA_United_States_of_America/MN_Minnesota/USA_MN_Albert.Lea.Muni.AP.726589_TMY3.zip</v>
      </c>
    </row>
    <row r="516" spans="1:10" x14ac:dyDescent="0.25">
      <c r="A516" t="s">
        <v>15</v>
      </c>
      <c r="B516" t="s">
        <v>554</v>
      </c>
      <c r="C516" t="s">
        <v>557</v>
      </c>
      <c r="D516">
        <v>726557</v>
      </c>
      <c r="E516" t="s">
        <v>13</v>
      </c>
      <c r="F516">
        <v>45.863</v>
      </c>
      <c r="G516">
        <v>-95.396000000000001</v>
      </c>
      <c r="H516">
        <v>-6</v>
      </c>
      <c r="I516">
        <v>433</v>
      </c>
      <c r="J516" t="str">
        <f>HYPERLINK("https://climate.onebuilding.org/WMO_Region_4_North_and_Central_America/USA_United_States_of_America/MN_Minnesota/USA_MN_Alexandria.Muni.AP-Chandler.Field.726557_TMY3.zip")</f>
        <v>https://climate.onebuilding.org/WMO_Region_4_North_and_Central_America/USA_United_States_of_America/MN_Minnesota/USA_MN_Alexandria.Muni.AP-Chandler.Field.726557_TMY3.zip</v>
      </c>
    </row>
    <row r="517" spans="1:10" x14ac:dyDescent="0.25">
      <c r="A517" t="s">
        <v>15</v>
      </c>
      <c r="B517" t="s">
        <v>554</v>
      </c>
      <c r="C517" t="s">
        <v>558</v>
      </c>
      <c r="D517">
        <v>727566</v>
      </c>
      <c r="E517" t="s">
        <v>13</v>
      </c>
      <c r="F517">
        <v>43.667000000000002</v>
      </c>
      <c r="G517">
        <v>-92.933000000000007</v>
      </c>
      <c r="H517">
        <v>-6</v>
      </c>
      <c r="I517">
        <v>375</v>
      </c>
      <c r="J517" t="str">
        <f>HYPERLINK("https://climate.onebuilding.org/WMO_Region_4_North_and_Central_America/USA_United_States_of_America/MN_Minnesota/USA_MN_Austin.Muni.AP.727566_TMY3.zip")</f>
        <v>https://climate.onebuilding.org/WMO_Region_4_North_and_Central_America/USA_United_States_of_America/MN_Minnesota/USA_MN_Austin.Muni.AP.727566_TMY3.zip</v>
      </c>
    </row>
    <row r="518" spans="1:10" x14ac:dyDescent="0.25">
      <c r="A518" t="s">
        <v>15</v>
      </c>
      <c r="B518" t="s">
        <v>554</v>
      </c>
      <c r="C518" t="s">
        <v>559</v>
      </c>
      <c r="D518">
        <v>727476</v>
      </c>
      <c r="E518" t="s">
        <v>13</v>
      </c>
      <c r="F518">
        <v>48.716999999999999</v>
      </c>
      <c r="G518">
        <v>-94.6</v>
      </c>
      <c r="H518">
        <v>-6</v>
      </c>
      <c r="I518">
        <v>330</v>
      </c>
      <c r="J518" t="str">
        <f>HYPERLINK("https://climate.onebuilding.org/WMO_Region_4_North_and_Central_America/USA_United_States_of_America/MN_Minnesota/USA_MN_Baudette.Intl.AP.727476_TMY3.zip")</f>
        <v>https://climate.onebuilding.org/WMO_Region_4_North_and_Central_America/USA_United_States_of_America/MN_Minnesota/USA_MN_Baudette.Intl.AP.727476_TMY3.zip</v>
      </c>
    </row>
    <row r="519" spans="1:10" x14ac:dyDescent="0.25">
      <c r="A519" t="s">
        <v>15</v>
      </c>
      <c r="B519" t="s">
        <v>554</v>
      </c>
      <c r="C519" t="s">
        <v>560</v>
      </c>
      <c r="D519">
        <v>727550</v>
      </c>
      <c r="E519" t="s">
        <v>13</v>
      </c>
      <c r="F519">
        <v>47.5</v>
      </c>
      <c r="G519">
        <v>-94.933000000000007</v>
      </c>
      <c r="H519">
        <v>-6</v>
      </c>
      <c r="I519">
        <v>420</v>
      </c>
      <c r="J519" t="str">
        <f>HYPERLINK("https://climate.onebuilding.org/WMO_Region_4_North_and_Central_America/USA_United_States_of_America/MN_Minnesota/USA_MN_Bemidji.Rgnl.AP.727550_TMY3.zip")</f>
        <v>https://climate.onebuilding.org/WMO_Region_4_North_and_Central_America/USA_United_States_of_America/MN_Minnesota/USA_MN_Bemidji.Rgnl.AP.727550_TMY3.zip</v>
      </c>
    </row>
    <row r="520" spans="1:10" x14ac:dyDescent="0.25">
      <c r="A520" t="s">
        <v>15</v>
      </c>
      <c r="B520" t="s">
        <v>554</v>
      </c>
      <c r="C520" t="s">
        <v>561</v>
      </c>
      <c r="D520">
        <v>727507</v>
      </c>
      <c r="E520" t="s">
        <v>13</v>
      </c>
      <c r="F520">
        <v>45.317</v>
      </c>
      <c r="G520">
        <v>-95.65</v>
      </c>
      <c r="H520">
        <v>-6</v>
      </c>
      <c r="I520">
        <v>317</v>
      </c>
      <c r="J520" t="str">
        <f>HYPERLINK("https://climate.onebuilding.org/WMO_Region_4_North_and_Central_America/USA_United_States_of_America/MN_Minnesota/USA_MN_Benson.Muni.AP.727507_TMY3.zip")</f>
        <v>https://climate.onebuilding.org/WMO_Region_4_North_and_Central_America/USA_United_States_of_America/MN_Minnesota/USA_MN_Benson.Muni.AP.727507_TMY3.zip</v>
      </c>
    </row>
    <row r="521" spans="1:10" x14ac:dyDescent="0.25">
      <c r="A521" t="s">
        <v>15</v>
      </c>
      <c r="B521" t="s">
        <v>554</v>
      </c>
      <c r="C521" t="s">
        <v>562</v>
      </c>
      <c r="D521">
        <v>726555</v>
      </c>
      <c r="E521" t="s">
        <v>13</v>
      </c>
      <c r="F521">
        <v>46.4</v>
      </c>
      <c r="G521">
        <v>-94.132999999999996</v>
      </c>
      <c r="H521">
        <v>-6</v>
      </c>
      <c r="I521">
        <v>374</v>
      </c>
      <c r="J521" t="str">
        <f>HYPERLINK("https://climate.onebuilding.org/WMO_Region_4_North_and_Central_America/USA_United_States_of_America/MN_Minnesota/USA_MN_Brainerd.Lakes.Rgnl.AP.726555_TMY3.zip")</f>
        <v>https://climate.onebuilding.org/WMO_Region_4_North_and_Central_America/USA_United_States_of_America/MN_Minnesota/USA_MN_Brainerd.Lakes.Rgnl.AP.726555_TMY3.zip</v>
      </c>
    </row>
    <row r="522" spans="1:10" x14ac:dyDescent="0.25">
      <c r="A522" t="s">
        <v>15</v>
      </c>
      <c r="B522" t="s">
        <v>554</v>
      </c>
      <c r="C522" t="s">
        <v>563</v>
      </c>
      <c r="D522">
        <v>727503</v>
      </c>
      <c r="E522" t="s">
        <v>13</v>
      </c>
      <c r="F522">
        <v>45.567</v>
      </c>
      <c r="G522">
        <v>-93.266999999999996</v>
      </c>
      <c r="H522">
        <v>-6</v>
      </c>
      <c r="I522">
        <v>287</v>
      </c>
      <c r="J522" t="str">
        <f>HYPERLINK("https://climate.onebuilding.org/WMO_Region_4_North_and_Central_America/USA_United_States_of_America/MN_Minnesota/USA_MN_Cambridge.Muni.AP.727503_TMY3.zip")</f>
        <v>https://climate.onebuilding.org/WMO_Region_4_North_and_Central_America/USA_United_States_of_America/MN_Minnesota/USA_MN_Cambridge.Muni.AP.727503_TMY3.zip</v>
      </c>
    </row>
    <row r="523" spans="1:10" x14ac:dyDescent="0.25">
      <c r="A523" t="s">
        <v>15</v>
      </c>
      <c r="B523" t="s">
        <v>554</v>
      </c>
      <c r="C523" t="s">
        <v>564</v>
      </c>
      <c r="D523">
        <v>726558</v>
      </c>
      <c r="E523" t="s">
        <v>13</v>
      </c>
      <c r="F523">
        <v>46.7</v>
      </c>
      <c r="G523">
        <v>-92.5</v>
      </c>
      <c r="H523">
        <v>-6</v>
      </c>
      <c r="I523">
        <v>390</v>
      </c>
      <c r="J523" t="str">
        <f>HYPERLINK("https://climate.onebuilding.org/WMO_Region_4_North_and_Central_America/USA_United_States_of_America/MN_Minnesota/USA_MN_Cloquet-Carlton.County.AP.726558_TMY3.zip")</f>
        <v>https://climate.onebuilding.org/WMO_Region_4_North_and_Central_America/USA_United_States_of_America/MN_Minnesota/USA_MN_Cloquet-Carlton.County.AP.726558_TMY3.zip</v>
      </c>
    </row>
    <row r="524" spans="1:10" x14ac:dyDescent="0.25">
      <c r="A524" t="s">
        <v>15</v>
      </c>
      <c r="B524" t="s">
        <v>554</v>
      </c>
      <c r="C524" t="s">
        <v>565</v>
      </c>
      <c r="D524">
        <v>727473</v>
      </c>
      <c r="E524" t="s">
        <v>13</v>
      </c>
      <c r="F524">
        <v>48.267000000000003</v>
      </c>
      <c r="G524">
        <v>-92.566999999999993</v>
      </c>
      <c r="H524">
        <v>-6</v>
      </c>
      <c r="I524">
        <v>350</v>
      </c>
      <c r="J524" t="str">
        <f>HYPERLINK("https://climate.onebuilding.org/WMO_Region_4_North_and_Central_America/USA_United_States_of_America/MN_Minnesota/USA_MN_Crane.Lake-Scotts.Seaplane.Base.727473_TMY3.zip")</f>
        <v>https://climate.onebuilding.org/WMO_Region_4_North_and_Central_America/USA_United_States_of_America/MN_Minnesota/USA_MN_Crane.Lake-Scotts.Seaplane.Base.727473_TMY3.zip</v>
      </c>
    </row>
    <row r="525" spans="1:10" x14ac:dyDescent="0.25">
      <c r="A525" t="s">
        <v>15</v>
      </c>
      <c r="B525" t="s">
        <v>554</v>
      </c>
      <c r="C525" t="s">
        <v>566</v>
      </c>
      <c r="D525">
        <v>727452</v>
      </c>
      <c r="E525" t="s">
        <v>13</v>
      </c>
      <c r="F525">
        <v>47.85</v>
      </c>
      <c r="G525">
        <v>-96.617000000000004</v>
      </c>
      <c r="H525">
        <v>-6</v>
      </c>
      <c r="I525">
        <v>273</v>
      </c>
      <c r="J525" t="str">
        <f>HYPERLINK("https://climate.onebuilding.org/WMO_Region_4_North_and_Central_America/USA_United_States_of_America/MN_Minnesota/USA_MN_Crookston.Muni.AP.727452_TMY3.zip")</f>
        <v>https://climate.onebuilding.org/WMO_Region_4_North_and_Central_America/USA_United_States_of_America/MN_Minnesota/USA_MN_Crookston.Muni.AP.727452_TMY3.zip</v>
      </c>
    </row>
    <row r="526" spans="1:10" x14ac:dyDescent="0.25">
      <c r="A526" t="s">
        <v>15</v>
      </c>
      <c r="B526" t="s">
        <v>554</v>
      </c>
      <c r="C526" t="s">
        <v>567</v>
      </c>
      <c r="D526">
        <v>727457</v>
      </c>
      <c r="E526" t="s">
        <v>13</v>
      </c>
      <c r="F526">
        <v>46.832999999999998</v>
      </c>
      <c r="G526">
        <v>-95.882999999999996</v>
      </c>
      <c r="H526">
        <v>-6</v>
      </c>
      <c r="I526">
        <v>426</v>
      </c>
      <c r="J526" t="str">
        <f>HYPERLINK("https://climate.onebuilding.org/WMO_Region_4_North_and_Central_America/USA_United_States_of_America/MN_Minnesota/USA_MN_Detroit.Lakes.AP.727457_TMY3.zip")</f>
        <v>https://climate.onebuilding.org/WMO_Region_4_North_and_Central_America/USA_United_States_of_America/MN_Minnesota/USA_MN_Detroit.Lakes.AP.727457_TMY3.zip</v>
      </c>
    </row>
    <row r="527" spans="1:10" x14ac:dyDescent="0.25">
      <c r="A527" t="s">
        <v>15</v>
      </c>
      <c r="B527" t="s">
        <v>554</v>
      </c>
      <c r="C527" t="s">
        <v>568</v>
      </c>
      <c r="D527">
        <v>727450</v>
      </c>
      <c r="E527" t="s">
        <v>13</v>
      </c>
      <c r="F527">
        <v>46.832999999999998</v>
      </c>
      <c r="G527">
        <v>-92.216999999999999</v>
      </c>
      <c r="H527">
        <v>-6</v>
      </c>
      <c r="I527">
        <v>433</v>
      </c>
      <c r="J527" t="str">
        <f>HYPERLINK("https://climate.onebuilding.org/WMO_Region_4_North_and_Central_America/USA_United_States_of_America/MN_Minnesota/USA_MN_Duluth.Intl.AP-Duluth.ANGB.727450_TMY3.zip")</f>
        <v>https://climate.onebuilding.org/WMO_Region_4_North_and_Central_America/USA_United_States_of_America/MN_Minnesota/USA_MN_Duluth.Intl.AP-Duluth.ANGB.727450_TMY3.zip</v>
      </c>
    </row>
    <row r="528" spans="1:10" x14ac:dyDescent="0.25">
      <c r="A528" t="s">
        <v>15</v>
      </c>
      <c r="B528" t="s">
        <v>554</v>
      </c>
      <c r="C528" t="s">
        <v>569</v>
      </c>
      <c r="D528">
        <v>726579</v>
      </c>
      <c r="E528" t="s">
        <v>13</v>
      </c>
      <c r="F528">
        <v>44.817</v>
      </c>
      <c r="G528">
        <v>-93.45</v>
      </c>
      <c r="H528">
        <v>-6</v>
      </c>
      <c r="I528">
        <v>283</v>
      </c>
      <c r="J528" t="str">
        <f>HYPERLINK("https://climate.onebuilding.org/WMO_Region_4_North_and_Central_America/USA_United_States_of_America/MN_Minnesota/USA_MN_Eden.Prairie-Flying.Cloud.AP.726579_TMY3.zip")</f>
        <v>https://climate.onebuilding.org/WMO_Region_4_North_and_Central_America/USA_United_States_of_America/MN_Minnesota/USA_MN_Eden.Prairie-Flying.Cloud.AP.726579_TMY3.zip</v>
      </c>
    </row>
    <row r="529" spans="1:10" x14ac:dyDescent="0.25">
      <c r="A529" t="s">
        <v>15</v>
      </c>
      <c r="B529" t="s">
        <v>554</v>
      </c>
      <c r="C529" t="s">
        <v>570</v>
      </c>
      <c r="D529">
        <v>727459</v>
      </c>
      <c r="E529" t="s">
        <v>13</v>
      </c>
      <c r="F529">
        <v>47.817</v>
      </c>
      <c r="G529">
        <v>-91.832999999999998</v>
      </c>
      <c r="H529">
        <v>-6</v>
      </c>
      <c r="I529">
        <v>455</v>
      </c>
      <c r="J529" t="str">
        <f>HYPERLINK("https://climate.onebuilding.org/WMO_Region_4_North_and_Central_America/USA_United_States_of_America/MN_Minnesota/USA_MN_Ely.Muni.AP.727459_TMY3.zip")</f>
        <v>https://climate.onebuilding.org/WMO_Region_4_North_and_Central_America/USA_United_States_of_America/MN_Minnesota/USA_MN_Ely.Muni.AP.727459_TMY3.zip</v>
      </c>
    </row>
    <row r="530" spans="1:10" x14ac:dyDescent="0.25">
      <c r="A530" t="s">
        <v>15</v>
      </c>
      <c r="B530" t="s">
        <v>554</v>
      </c>
      <c r="C530" t="s">
        <v>571</v>
      </c>
      <c r="D530">
        <v>727474</v>
      </c>
      <c r="E530" t="s">
        <v>13</v>
      </c>
      <c r="F530">
        <v>47.424999999999997</v>
      </c>
      <c r="G530">
        <v>-92.5</v>
      </c>
      <c r="H530">
        <v>-6</v>
      </c>
      <c r="I530">
        <v>421</v>
      </c>
      <c r="J530" t="str">
        <f>HYPERLINK("https://climate.onebuilding.org/WMO_Region_4_North_and_Central_America/USA_United_States_of_America/MN_Minnesota/USA_MN_Eveleth-Virginia.Muni.AP.727474_TMY3.zip")</f>
        <v>https://climate.onebuilding.org/WMO_Region_4_North_and_Central_America/USA_United_States_of_America/MN_Minnesota/USA_MN_Eveleth-Virginia.Muni.AP.727474_TMY3.zip</v>
      </c>
    </row>
    <row r="531" spans="1:10" x14ac:dyDescent="0.25">
      <c r="A531" t="s">
        <v>15</v>
      </c>
      <c r="B531" t="s">
        <v>554</v>
      </c>
      <c r="C531" t="s">
        <v>572</v>
      </c>
      <c r="D531">
        <v>726586</v>
      </c>
      <c r="E531" t="s">
        <v>13</v>
      </c>
      <c r="F531">
        <v>43.65</v>
      </c>
      <c r="G531">
        <v>-94.417000000000002</v>
      </c>
      <c r="H531">
        <v>-6</v>
      </c>
      <c r="I531">
        <v>354</v>
      </c>
      <c r="J531" t="str">
        <f>HYPERLINK("https://climate.onebuilding.org/WMO_Region_4_North_and_Central_America/USA_United_States_of_America/MN_Minnesota/USA_MN_Fairmont.Muni.AP.726586_TMY3.zip")</f>
        <v>https://climate.onebuilding.org/WMO_Region_4_North_and_Central_America/USA_United_States_of_America/MN_Minnesota/USA_MN_Fairmont.Muni.AP.726586_TMY3.zip</v>
      </c>
    </row>
    <row r="532" spans="1:10" x14ac:dyDescent="0.25">
      <c r="A532" t="s">
        <v>15</v>
      </c>
      <c r="B532" t="s">
        <v>554</v>
      </c>
      <c r="C532" t="s">
        <v>573</v>
      </c>
      <c r="D532">
        <v>726563</v>
      </c>
      <c r="E532" t="s">
        <v>13</v>
      </c>
      <c r="F532">
        <v>44.332999999999998</v>
      </c>
      <c r="G532">
        <v>-93.316999999999993</v>
      </c>
      <c r="H532">
        <v>-6</v>
      </c>
      <c r="I532">
        <v>322</v>
      </c>
      <c r="J532" t="str">
        <f>HYPERLINK("https://climate.onebuilding.org/WMO_Region_4_North_and_Central_America/USA_United_States_of_America/MN_Minnesota/USA_MN_Faribault.Muni.AP.726563_TMY3.zip")</f>
        <v>https://climate.onebuilding.org/WMO_Region_4_North_and_Central_America/USA_United_States_of_America/MN_Minnesota/USA_MN_Faribault.Muni.AP.726563_TMY3.zip</v>
      </c>
    </row>
    <row r="533" spans="1:10" x14ac:dyDescent="0.25">
      <c r="A533" t="s">
        <v>15</v>
      </c>
      <c r="B533" t="s">
        <v>554</v>
      </c>
      <c r="C533" t="s">
        <v>574</v>
      </c>
      <c r="D533">
        <v>726560</v>
      </c>
      <c r="E533" t="s">
        <v>13</v>
      </c>
      <c r="F533">
        <v>46.283000000000001</v>
      </c>
      <c r="G533">
        <v>-96.15</v>
      </c>
      <c r="H533">
        <v>-6</v>
      </c>
      <c r="I533">
        <v>361</v>
      </c>
      <c r="J533" t="str">
        <f>HYPERLINK("https://climate.onebuilding.org/WMO_Region_4_North_and_Central_America/USA_United_States_of_America/MN_Minnesota/USA_MN_Fergus.Falls.Muni.AP-Mickelson.Field.726560_TMY3.zip")</f>
        <v>https://climate.onebuilding.org/WMO_Region_4_North_and_Central_America/USA_United_States_of_America/MN_Minnesota/USA_MN_Fergus.Falls.Muni.AP-Mickelson.Field.726560_TMY3.zip</v>
      </c>
    </row>
    <row r="534" spans="1:10" x14ac:dyDescent="0.25">
      <c r="A534" t="s">
        <v>15</v>
      </c>
      <c r="B534" t="s">
        <v>554</v>
      </c>
      <c r="C534" t="s">
        <v>575</v>
      </c>
      <c r="D534">
        <v>727505</v>
      </c>
      <c r="E534" t="s">
        <v>13</v>
      </c>
      <c r="F534">
        <v>47.582999999999998</v>
      </c>
      <c r="G534">
        <v>-95.766999999999996</v>
      </c>
      <c r="H534">
        <v>-6</v>
      </c>
      <c r="I534">
        <v>388</v>
      </c>
      <c r="J534" t="str">
        <f>HYPERLINK("https://climate.onebuilding.org/WMO_Region_4_North_and_Central_America/USA_United_States_of_America/MN_Minnesota/USA_MN_Fosston.Muni.AP.727505_TMY3.zip")</f>
        <v>https://climate.onebuilding.org/WMO_Region_4_North_and_Central_America/USA_United_States_of_America/MN_Minnesota/USA_MN_Fosston.Muni.AP.727505_TMY3.zip</v>
      </c>
    </row>
    <row r="535" spans="1:10" x14ac:dyDescent="0.25">
      <c r="A535" t="s">
        <v>15</v>
      </c>
      <c r="B535" t="s">
        <v>554</v>
      </c>
      <c r="C535" t="s">
        <v>576</v>
      </c>
      <c r="D535">
        <v>726547</v>
      </c>
      <c r="E535" t="s">
        <v>13</v>
      </c>
      <c r="F535">
        <v>45.65</v>
      </c>
      <c r="G535">
        <v>-95.316999999999993</v>
      </c>
      <c r="H535">
        <v>-6</v>
      </c>
      <c r="I535">
        <v>425</v>
      </c>
      <c r="J535" t="str">
        <f>HYPERLINK("https://climate.onebuilding.org/WMO_Region_4_North_and_Central_America/USA_United_States_of_America/MN_Minnesota/USA_MN_Glenwood.Muni.AP.726547_TMY3.zip")</f>
        <v>https://climate.onebuilding.org/WMO_Region_4_North_and_Central_America/USA_United_States_of_America/MN_Minnesota/USA_MN_Glenwood.Muni.AP.726547_TMY3.zip</v>
      </c>
    </row>
    <row r="536" spans="1:10" x14ac:dyDescent="0.25">
      <c r="A536" t="s">
        <v>15</v>
      </c>
      <c r="B536" t="s">
        <v>554</v>
      </c>
      <c r="C536" t="s">
        <v>577</v>
      </c>
      <c r="D536">
        <v>727458</v>
      </c>
      <c r="E536" t="s">
        <v>13</v>
      </c>
      <c r="F536">
        <v>47.216999999999999</v>
      </c>
      <c r="G536">
        <v>-93.516999999999996</v>
      </c>
      <c r="H536">
        <v>-6</v>
      </c>
      <c r="I536">
        <v>413</v>
      </c>
      <c r="J536" t="str">
        <f>HYPERLINK("https://climate.onebuilding.org/WMO_Region_4_North_and_Central_America/USA_United_States_of_America/MN_Minnesota/USA_MN_Grand.Rapids-Itasca.County.AP.727458_TMY3.zip")</f>
        <v>https://climate.onebuilding.org/WMO_Region_4_North_and_Central_America/USA_United_States_of_America/MN_Minnesota/USA_MN_Grand.Rapids-Itasca.County.AP.727458_TMY3.zip</v>
      </c>
    </row>
    <row r="537" spans="1:10" x14ac:dyDescent="0.25">
      <c r="A537" t="s">
        <v>15</v>
      </c>
      <c r="B537" t="s">
        <v>554</v>
      </c>
      <c r="C537" t="s">
        <v>578</v>
      </c>
      <c r="D537">
        <v>727478</v>
      </c>
      <c r="E537" t="s">
        <v>13</v>
      </c>
      <c r="F537">
        <v>48.756</v>
      </c>
      <c r="G537">
        <v>-96.95</v>
      </c>
      <c r="H537">
        <v>-6</v>
      </c>
      <c r="I537">
        <v>250</v>
      </c>
      <c r="J537" t="str">
        <f>HYPERLINK("https://climate.onebuilding.org/WMO_Region_4_North_and_Central_America/USA_United_States_of_America/MN_Minnesota/USA_MN_Hallock.Muni.AP.727478_TMY3.zip")</f>
        <v>https://climate.onebuilding.org/WMO_Region_4_North_and_Central_America/USA_United_States_of_America/MN_Minnesota/USA_MN_Hallock.Muni.AP.727478_TMY3.zip</v>
      </c>
    </row>
    <row r="538" spans="1:10" x14ac:dyDescent="0.25">
      <c r="A538" t="s">
        <v>15</v>
      </c>
      <c r="B538" t="s">
        <v>554</v>
      </c>
      <c r="C538" t="s">
        <v>579</v>
      </c>
      <c r="D538">
        <v>727455</v>
      </c>
      <c r="E538" t="s">
        <v>13</v>
      </c>
      <c r="F538">
        <v>47.383000000000003</v>
      </c>
      <c r="G538">
        <v>-92.85</v>
      </c>
      <c r="H538">
        <v>-6</v>
      </c>
      <c r="I538">
        <v>411</v>
      </c>
      <c r="J538" t="str">
        <f>HYPERLINK("https://climate.onebuilding.org/WMO_Region_4_North_and_Central_America/USA_United_States_of_America/MN_Minnesota/USA_MN_Hibbing-Range.Rgnl.AP.727455_TMY3.zip")</f>
        <v>https://climate.onebuilding.org/WMO_Region_4_North_and_Central_America/USA_United_States_of_America/MN_Minnesota/USA_MN_Hibbing-Range.Rgnl.AP.727455_TMY3.zip</v>
      </c>
    </row>
    <row r="539" spans="1:10" x14ac:dyDescent="0.25">
      <c r="A539" t="s">
        <v>15</v>
      </c>
      <c r="B539" t="s">
        <v>554</v>
      </c>
      <c r="C539" t="s">
        <v>580</v>
      </c>
      <c r="D539">
        <v>726569</v>
      </c>
      <c r="E539" t="s">
        <v>13</v>
      </c>
      <c r="F539">
        <v>44.866999999999997</v>
      </c>
      <c r="G539">
        <v>-94.382999999999996</v>
      </c>
      <c r="H539">
        <v>-6</v>
      </c>
      <c r="I539">
        <v>323</v>
      </c>
      <c r="J539" t="str">
        <f>HYPERLINK("https://climate.onebuilding.org/WMO_Region_4_North_and_Central_America/USA_United_States_of_America/MN_Minnesota/USA_MN_Hutchinson.Muni.AP-Butler.Field.726569_TMY3.zip")</f>
        <v>https://climate.onebuilding.org/WMO_Region_4_North_and_Central_America/USA_United_States_of_America/MN_Minnesota/USA_MN_Hutchinson.Muni.AP-Butler.Field.726569_TMY3.zip</v>
      </c>
    </row>
    <row r="540" spans="1:10" x14ac:dyDescent="0.25">
      <c r="A540" t="s">
        <v>15</v>
      </c>
      <c r="B540" t="s">
        <v>554</v>
      </c>
      <c r="C540" t="s">
        <v>581</v>
      </c>
      <c r="D540">
        <v>727470</v>
      </c>
      <c r="E540" t="s">
        <v>13</v>
      </c>
      <c r="F540">
        <v>48.567</v>
      </c>
      <c r="G540">
        <v>-93.4</v>
      </c>
      <c r="H540">
        <v>-6</v>
      </c>
      <c r="I540">
        <v>359</v>
      </c>
      <c r="J540" t="str">
        <f>HYPERLINK("https://climate.onebuilding.org/WMO_Region_4_North_and_Central_America/USA_United_States_of_America/MN_Minnesota/USA_MN_International.Falls-Falls.Intl.AP.727470_TMY3.zip")</f>
        <v>https://climate.onebuilding.org/WMO_Region_4_North_and_Central_America/USA_United_States_of_America/MN_Minnesota/USA_MN_International.Falls-Falls.Intl.AP.727470_TMY3.zip</v>
      </c>
    </row>
    <row r="541" spans="1:10" x14ac:dyDescent="0.25">
      <c r="A541" t="s">
        <v>15</v>
      </c>
      <c r="B541" t="s">
        <v>554</v>
      </c>
      <c r="C541" t="s">
        <v>582</v>
      </c>
      <c r="D541">
        <v>726583</v>
      </c>
      <c r="E541" t="s">
        <v>13</v>
      </c>
      <c r="F541">
        <v>45.1</v>
      </c>
      <c r="G541">
        <v>-94.51</v>
      </c>
      <c r="H541">
        <v>-6</v>
      </c>
      <c r="I541">
        <v>347</v>
      </c>
      <c r="J541" t="str">
        <f>HYPERLINK("https://climate.onebuilding.org/WMO_Region_4_North_and_Central_America/USA_United_States_of_America/MN_Minnesota/USA_MN_Litchfield.Muni.AP.726583_TMY3.zip")</f>
        <v>https://climate.onebuilding.org/WMO_Region_4_North_and_Central_America/USA_United_States_of_America/MN_Minnesota/USA_MN_Litchfield.Muni.AP.726583_TMY3.zip</v>
      </c>
    </row>
    <row r="542" spans="1:10" x14ac:dyDescent="0.25">
      <c r="A542" t="s">
        <v>15</v>
      </c>
      <c r="B542" t="s">
        <v>554</v>
      </c>
      <c r="C542" t="s">
        <v>583</v>
      </c>
      <c r="D542">
        <v>726578</v>
      </c>
      <c r="E542" t="s">
        <v>13</v>
      </c>
      <c r="F542">
        <v>45.95</v>
      </c>
      <c r="G542">
        <v>-94.35</v>
      </c>
      <c r="H542">
        <v>-6</v>
      </c>
      <c r="I542">
        <v>342</v>
      </c>
      <c r="J542" t="str">
        <f>HYPERLINK("https://climate.onebuilding.org/WMO_Region_4_North_and_Central_America/USA_United_States_of_America/MN_Minnesota/USA_MN_Little.Falls-Morrison.County.AP.726578_TMY3.zip")</f>
        <v>https://climate.onebuilding.org/WMO_Region_4_North_and_Central_America/USA_United_States_of_America/MN_Minnesota/USA_MN_Little.Falls-Morrison.County.AP.726578_TMY3.zip</v>
      </c>
    </row>
    <row r="543" spans="1:10" x14ac:dyDescent="0.25">
      <c r="A543" t="s">
        <v>15</v>
      </c>
      <c r="B543" t="s">
        <v>554</v>
      </c>
      <c r="C543" t="s">
        <v>584</v>
      </c>
      <c r="D543">
        <v>726585</v>
      </c>
      <c r="E543" t="s">
        <v>13</v>
      </c>
      <c r="F543">
        <v>44.216999999999999</v>
      </c>
      <c r="G543">
        <v>-93.917000000000002</v>
      </c>
      <c r="H543">
        <v>-6</v>
      </c>
      <c r="I543">
        <v>311</v>
      </c>
      <c r="J543" t="str">
        <f>HYPERLINK("https://climate.onebuilding.org/WMO_Region_4_North_and_Central_America/USA_United_States_of_America/MN_Minnesota/USA_MN_Mankato.Rgnl.AP.726585_TMY3.zip")</f>
        <v>https://climate.onebuilding.org/WMO_Region_4_North_and_Central_America/USA_United_States_of_America/MN_Minnesota/USA_MN_Mankato.Rgnl.AP.726585_TMY3.zip</v>
      </c>
    </row>
    <row r="544" spans="1:10" x14ac:dyDescent="0.25">
      <c r="A544" t="s">
        <v>15</v>
      </c>
      <c r="B544" t="s">
        <v>554</v>
      </c>
      <c r="C544" t="s">
        <v>585</v>
      </c>
      <c r="D544">
        <v>726559</v>
      </c>
      <c r="E544" t="s">
        <v>13</v>
      </c>
      <c r="F544">
        <v>44.45</v>
      </c>
      <c r="G544">
        <v>-95.816999999999993</v>
      </c>
      <c r="H544">
        <v>-6</v>
      </c>
      <c r="I544">
        <v>359</v>
      </c>
      <c r="J544" t="str">
        <f>HYPERLINK("https://climate.onebuilding.org/WMO_Region_4_North_and_Central_America/USA_United_States_of_America/MN_Minnesota/USA_MN_Marshall-Southwest.Minnesota.Rgnl.AP-Ryan.Field.726559_TMY3.zip")</f>
        <v>https://climate.onebuilding.org/WMO_Region_4_North_and_Central_America/USA_United_States_of_America/MN_Minnesota/USA_MN_Marshall-Southwest.Minnesota.Rgnl.AP-Ryan.Field.726559_TMY3.zip</v>
      </c>
    </row>
    <row r="545" spans="1:10" x14ac:dyDescent="0.25">
      <c r="A545" t="s">
        <v>15</v>
      </c>
      <c r="B545" t="s">
        <v>554</v>
      </c>
      <c r="C545" t="s">
        <v>586</v>
      </c>
      <c r="D545">
        <v>726575</v>
      </c>
      <c r="E545" t="s">
        <v>13</v>
      </c>
      <c r="F545">
        <v>45.067</v>
      </c>
      <c r="G545">
        <v>-93.35</v>
      </c>
      <c r="H545">
        <v>-6</v>
      </c>
      <c r="I545">
        <v>265</v>
      </c>
      <c r="J545" t="str">
        <f>HYPERLINK("https://climate.onebuilding.org/WMO_Region_4_North_and_Central_America/USA_United_States_of_America/MN_Minnesota/USA_MN_Minneapolis-Crystal.AP.726575_TMY3.zip")</f>
        <v>https://climate.onebuilding.org/WMO_Region_4_North_and_Central_America/USA_United_States_of_America/MN_Minnesota/USA_MN_Minneapolis-Crystal.AP.726575_TMY3.zip</v>
      </c>
    </row>
    <row r="546" spans="1:10" x14ac:dyDescent="0.25">
      <c r="A546" t="s">
        <v>15</v>
      </c>
      <c r="B546" t="s">
        <v>554</v>
      </c>
      <c r="C546" t="s">
        <v>587</v>
      </c>
      <c r="D546">
        <v>726580</v>
      </c>
      <c r="E546" t="s">
        <v>13</v>
      </c>
      <c r="F546">
        <v>44.883000000000003</v>
      </c>
      <c r="G546">
        <v>-93.233000000000004</v>
      </c>
      <c r="H546">
        <v>-6</v>
      </c>
      <c r="I546">
        <v>254</v>
      </c>
      <c r="J546" t="str">
        <f>HYPERLINK("https://climate.onebuilding.org/WMO_Region_4_North_and_Central_America/USA_United_States_of_America/MN_Minnesota/USA_MN_Minneapolis-St.Paul.Intl.AP.726580_TMY3.zip")</f>
        <v>https://climate.onebuilding.org/WMO_Region_4_North_and_Central_America/USA_United_States_of_America/MN_Minnesota/USA_MN_Minneapolis-St.Paul.Intl.AP.726580_TMY3.zip</v>
      </c>
    </row>
    <row r="547" spans="1:10" x14ac:dyDescent="0.25">
      <c r="A547" t="s">
        <v>15</v>
      </c>
      <c r="B547" t="s">
        <v>554</v>
      </c>
      <c r="C547" t="s">
        <v>588</v>
      </c>
      <c r="D547">
        <v>727475</v>
      </c>
      <c r="E547" t="s">
        <v>13</v>
      </c>
      <c r="F547">
        <v>45.883000000000003</v>
      </c>
      <c r="G547">
        <v>-93.266999999999996</v>
      </c>
      <c r="H547">
        <v>-6</v>
      </c>
      <c r="I547">
        <v>309</v>
      </c>
      <c r="J547" t="str">
        <f>HYPERLINK("https://climate.onebuilding.org/WMO_Region_4_North_and_Central_America/USA_United_States_of_America/MN_Minnesota/USA_MN_Mora.Muni.AP.727475_TMY3.zip")</f>
        <v>https://climate.onebuilding.org/WMO_Region_4_North_and_Central_America/USA_United_States_of_America/MN_Minnesota/USA_MN_Mora.Muni.AP.727475_TMY3.zip</v>
      </c>
    </row>
    <row r="548" spans="1:10" x14ac:dyDescent="0.25">
      <c r="A548" t="s">
        <v>15</v>
      </c>
      <c r="B548" t="s">
        <v>554</v>
      </c>
      <c r="C548" t="s">
        <v>589</v>
      </c>
      <c r="D548">
        <v>726565</v>
      </c>
      <c r="E548" t="s">
        <v>13</v>
      </c>
      <c r="F548">
        <v>45.567</v>
      </c>
      <c r="G548">
        <v>-95.966999999999999</v>
      </c>
      <c r="H548">
        <v>-6</v>
      </c>
      <c r="I548">
        <v>344</v>
      </c>
      <c r="J548" t="str">
        <f>HYPERLINK("https://climate.onebuilding.org/WMO_Region_4_North_and_Central_America/USA_United_States_of_America/MN_Minnesota/USA_MN_Morris.Muni.AP-Schmidt.Field.726565_TMY3.zip")</f>
        <v>https://climate.onebuilding.org/WMO_Region_4_North_and_Central_America/USA_United_States_of_America/MN_Minnesota/USA_MN_Morris.Muni.AP-Schmidt.Field.726565_TMY3.zip</v>
      </c>
    </row>
    <row r="549" spans="1:10" x14ac:dyDescent="0.25">
      <c r="A549" t="s">
        <v>15</v>
      </c>
      <c r="B549" t="s">
        <v>554</v>
      </c>
      <c r="C549" t="s">
        <v>590</v>
      </c>
      <c r="D549">
        <v>726567</v>
      </c>
      <c r="E549" t="s">
        <v>13</v>
      </c>
      <c r="F549">
        <v>44.317</v>
      </c>
      <c r="G549">
        <v>-94.5</v>
      </c>
      <c r="H549">
        <v>-6</v>
      </c>
      <c r="I549">
        <v>308</v>
      </c>
      <c r="J549" t="str">
        <f>HYPERLINK("https://climate.onebuilding.org/WMO_Region_4_North_and_Central_America/USA_United_States_of_America/MN_Minnesota/USA_MN_New.Ulm.Muni.AP.726567_TMY3.zip")</f>
        <v>https://climate.onebuilding.org/WMO_Region_4_North_and_Central_America/USA_United_States_of_America/MN_Minnesota/USA_MN_New.Ulm.Muni.AP.726567_TMY3.zip</v>
      </c>
    </row>
    <row r="550" spans="1:10" x14ac:dyDescent="0.25">
      <c r="A550" t="s">
        <v>15</v>
      </c>
      <c r="B550" t="s">
        <v>554</v>
      </c>
      <c r="C550" t="s">
        <v>591</v>
      </c>
      <c r="D550">
        <v>726544</v>
      </c>
      <c r="E550" t="s">
        <v>13</v>
      </c>
      <c r="F550">
        <v>48.017000000000003</v>
      </c>
      <c r="G550">
        <v>-92.867000000000004</v>
      </c>
      <c r="H550">
        <v>-6</v>
      </c>
      <c r="I550">
        <v>397</v>
      </c>
      <c r="J550" t="str">
        <f>HYPERLINK("https://climate.onebuilding.org/WMO_Region_4_North_and_Central_America/USA_United_States_of_America/MN_Minnesota/USA_MN_Orr.Rgnl.AP.726544_TMY3.zip")</f>
        <v>https://climate.onebuilding.org/WMO_Region_4_North_and_Central_America/USA_United_States_of_America/MN_Minnesota/USA_MN_Orr.Rgnl.AP.726544_TMY3.zip</v>
      </c>
    </row>
    <row r="551" spans="1:10" x14ac:dyDescent="0.25">
      <c r="A551" t="s">
        <v>15</v>
      </c>
      <c r="B551" t="s">
        <v>554</v>
      </c>
      <c r="C551" t="s">
        <v>592</v>
      </c>
      <c r="D551">
        <v>726568</v>
      </c>
      <c r="E551" t="s">
        <v>13</v>
      </c>
      <c r="F551">
        <v>44.116999999999997</v>
      </c>
      <c r="G551">
        <v>-93.25</v>
      </c>
      <c r="H551">
        <v>-6</v>
      </c>
      <c r="I551">
        <v>350</v>
      </c>
      <c r="J551" t="str">
        <f>HYPERLINK("https://climate.onebuilding.org/WMO_Region_4_North_and_Central_America/USA_United_States_of_America/MN_Minnesota/USA_MN_Owatonna.Degner.Rgnl.AP.726568_TMY3.zip")</f>
        <v>https://climate.onebuilding.org/WMO_Region_4_North_and_Central_America/USA_United_States_of_America/MN_Minnesota/USA_MN_Owatonna.Degner.Rgnl.AP.726568_TMY3.zip</v>
      </c>
    </row>
    <row r="552" spans="1:10" x14ac:dyDescent="0.25">
      <c r="A552" t="s">
        <v>15</v>
      </c>
      <c r="B552" t="s">
        <v>554</v>
      </c>
      <c r="C552" t="s">
        <v>593</v>
      </c>
      <c r="D552">
        <v>727453</v>
      </c>
      <c r="E552" t="s">
        <v>13</v>
      </c>
      <c r="F552">
        <v>46.9</v>
      </c>
      <c r="G552">
        <v>-95.066999999999993</v>
      </c>
      <c r="H552">
        <v>-6</v>
      </c>
      <c r="I552">
        <v>437</v>
      </c>
      <c r="J552" t="str">
        <f>HYPERLINK("https://climate.onebuilding.org/WMO_Region_4_North_and_Central_America/USA_United_States_of_America/MN_Minnesota/USA_MN_Park.Rapids.Muni.AP-Konshok.Field.727453_TMY3.zip")</f>
        <v>https://climate.onebuilding.org/WMO_Region_4_North_and_Central_America/USA_United_States_of_America/MN_Minnesota/USA_MN_Park.Rapids.Muni.AP-Konshok.Field.727453_TMY3.zip</v>
      </c>
    </row>
    <row r="553" spans="1:10" x14ac:dyDescent="0.25">
      <c r="A553" t="s">
        <v>15</v>
      </c>
      <c r="B553" t="s">
        <v>554</v>
      </c>
      <c r="C553" t="s">
        <v>594</v>
      </c>
      <c r="D553">
        <v>726566</v>
      </c>
      <c r="E553" t="s">
        <v>13</v>
      </c>
      <c r="F553">
        <v>43.982999999999997</v>
      </c>
      <c r="G553">
        <v>-96.316999999999993</v>
      </c>
      <c r="H553">
        <v>-6</v>
      </c>
      <c r="I553">
        <v>529</v>
      </c>
      <c r="J553" t="str">
        <f>HYPERLINK("https://climate.onebuilding.org/WMO_Region_4_North_and_Central_America/USA_United_States_of_America/MN_Minnesota/USA_MN_Pipestone.Muni.AP.726566_TMY3.zip")</f>
        <v>https://climate.onebuilding.org/WMO_Region_4_North_and_Central_America/USA_United_States_of_America/MN_Minnesota/USA_MN_Pipestone.Muni.AP.726566_TMY3.zip</v>
      </c>
    </row>
    <row r="554" spans="1:10" x14ac:dyDescent="0.25">
      <c r="A554" t="s">
        <v>15</v>
      </c>
      <c r="B554" t="s">
        <v>554</v>
      </c>
      <c r="C554" t="s">
        <v>595</v>
      </c>
      <c r="D554">
        <v>726564</v>
      </c>
      <c r="E554" t="s">
        <v>13</v>
      </c>
      <c r="F554">
        <v>44.582999999999998</v>
      </c>
      <c r="G554">
        <v>-92.483000000000004</v>
      </c>
      <c r="H554">
        <v>-6</v>
      </c>
      <c r="I554">
        <v>239</v>
      </c>
      <c r="J554" t="str">
        <f>HYPERLINK("https://climate.onebuilding.org/WMO_Region_4_North_and_Central_America/USA_United_States_of_America/MN_Minnesota/USA_MN_Red.Wing.Rgnl.AP.726564_TMY3.zip")</f>
        <v>https://climate.onebuilding.org/WMO_Region_4_North_and_Central_America/USA_United_States_of_America/MN_Minnesota/USA_MN_Red.Wing.Rgnl.AP.726564_TMY3.zip</v>
      </c>
    </row>
    <row r="555" spans="1:10" x14ac:dyDescent="0.25">
      <c r="A555" t="s">
        <v>15</v>
      </c>
      <c r="B555" t="s">
        <v>554</v>
      </c>
      <c r="C555" t="s">
        <v>596</v>
      </c>
      <c r="D555">
        <v>726556</v>
      </c>
      <c r="E555" t="s">
        <v>13</v>
      </c>
      <c r="F555">
        <v>44.55</v>
      </c>
      <c r="G555">
        <v>-95.082999999999998</v>
      </c>
      <c r="H555">
        <v>-6</v>
      </c>
      <c r="I555">
        <v>312</v>
      </c>
      <c r="J555" t="str">
        <f>HYPERLINK("https://climate.onebuilding.org/WMO_Region_4_North_and_Central_America/USA_United_States_of_America/MN_Minnesota/USA_MN_Redwood.Falls.Muni.AP.726556_TMY3.zip")</f>
        <v>https://climate.onebuilding.org/WMO_Region_4_North_and_Central_America/USA_United_States_of_America/MN_Minnesota/USA_MN_Redwood.Falls.Muni.AP.726556_TMY3.zip</v>
      </c>
    </row>
    <row r="556" spans="1:10" x14ac:dyDescent="0.25">
      <c r="A556" t="s">
        <v>15</v>
      </c>
      <c r="B556" t="s">
        <v>554</v>
      </c>
      <c r="C556" t="s">
        <v>597</v>
      </c>
      <c r="D556">
        <v>726440</v>
      </c>
      <c r="E556" t="s">
        <v>13</v>
      </c>
      <c r="F556">
        <v>43.9</v>
      </c>
      <c r="G556">
        <v>-92.5</v>
      </c>
      <c r="H556">
        <v>-6</v>
      </c>
      <c r="I556">
        <v>398</v>
      </c>
      <c r="J556" t="str">
        <f>HYPERLINK("https://climate.onebuilding.org/WMO_Region_4_North_and_Central_America/USA_United_States_of_America/MN_Minnesota/USA_MN_Rochester.Intl.AP.726440_TMY3.zip")</f>
        <v>https://climate.onebuilding.org/WMO_Region_4_North_and_Central_America/USA_United_States_of_America/MN_Minnesota/USA_MN_Rochester.Intl.AP.726440_TMY3.zip</v>
      </c>
    </row>
    <row r="557" spans="1:10" x14ac:dyDescent="0.25">
      <c r="A557" t="s">
        <v>15</v>
      </c>
      <c r="B557" t="s">
        <v>554</v>
      </c>
      <c r="C557" t="s">
        <v>598</v>
      </c>
      <c r="D557">
        <v>727477</v>
      </c>
      <c r="E557" t="s">
        <v>13</v>
      </c>
      <c r="F557">
        <v>48.85</v>
      </c>
      <c r="G557">
        <v>-95.7</v>
      </c>
      <c r="H557">
        <v>-6</v>
      </c>
      <c r="I557">
        <v>323</v>
      </c>
      <c r="J557" t="str">
        <f>HYPERLINK("https://climate.onebuilding.org/WMO_Region_4_North_and_Central_America/USA_United_States_of_America/MN_Minnesota/USA_MN_Roseau.Muni.AP-Billberg.Field.727477_TMY3.zip")</f>
        <v>https://climate.onebuilding.org/WMO_Region_4_North_and_Central_America/USA_United_States_of_America/MN_Minnesota/USA_MN_Roseau.Muni.AP-Billberg.Field.727477_TMY3.zip</v>
      </c>
    </row>
    <row r="558" spans="1:10" x14ac:dyDescent="0.25">
      <c r="A558" t="s">
        <v>15</v>
      </c>
      <c r="B558" t="s">
        <v>554</v>
      </c>
      <c r="C558" t="s">
        <v>599</v>
      </c>
      <c r="D558">
        <v>727556</v>
      </c>
      <c r="E558" t="s">
        <v>13</v>
      </c>
      <c r="F558">
        <v>47.25</v>
      </c>
      <c r="G558">
        <v>-91.41</v>
      </c>
      <c r="H558">
        <v>-6</v>
      </c>
      <c r="I558">
        <v>331</v>
      </c>
      <c r="J558" t="str">
        <f>HYPERLINK("https://climate.onebuilding.org/WMO_Region_4_North_and_Central_America/USA_United_States_of_America/MN_Minnesota/USA_MN_Silver.Bay.Muni.AP.727556_TMY3.zip")</f>
        <v>https://climate.onebuilding.org/WMO_Region_4_North_and_Central_America/USA_United_States_of_America/MN_Minnesota/USA_MN_Silver.Bay.Muni.AP.727556_TMY3.zip</v>
      </c>
    </row>
    <row r="559" spans="1:10" x14ac:dyDescent="0.25">
      <c r="A559" t="s">
        <v>15</v>
      </c>
      <c r="B559" t="s">
        <v>554</v>
      </c>
      <c r="C559" t="s">
        <v>600</v>
      </c>
      <c r="D559">
        <v>726603</v>
      </c>
      <c r="E559" t="s">
        <v>13</v>
      </c>
      <c r="F559">
        <v>44.856000000000002</v>
      </c>
      <c r="G559">
        <v>-93.034999999999997</v>
      </c>
      <c r="H559">
        <v>-6</v>
      </c>
      <c r="I559">
        <v>250</v>
      </c>
      <c r="J559" t="str">
        <f>HYPERLINK("https://climate.onebuilding.org/WMO_Region_4_North_and_Central_America/USA_United_States_of_America/MN_Minnesota/USA_MN_South.St.Paul.Muni.AP-Fleming.Field.726603_TMY3.zip")</f>
        <v>https://climate.onebuilding.org/WMO_Region_4_North_and_Central_America/USA_United_States_of_America/MN_Minnesota/USA_MN_South.St.Paul.Muni.AP-Fleming.Field.726603_TMY3.zip</v>
      </c>
    </row>
    <row r="560" spans="1:10" x14ac:dyDescent="0.25">
      <c r="A560" t="s">
        <v>15</v>
      </c>
      <c r="B560" t="s">
        <v>554</v>
      </c>
      <c r="C560" t="s">
        <v>601</v>
      </c>
      <c r="D560">
        <v>726550</v>
      </c>
      <c r="E560" t="s">
        <v>13</v>
      </c>
      <c r="F560">
        <v>45.55</v>
      </c>
      <c r="G560">
        <v>-94.05</v>
      </c>
      <c r="H560">
        <v>-6</v>
      </c>
      <c r="I560">
        <v>311</v>
      </c>
      <c r="J560" t="str">
        <f>HYPERLINK("https://climate.onebuilding.org/WMO_Region_4_North_and_Central_America/USA_United_States_of_America/MN_Minnesota/USA_MN_St.Cloud.Rgnl.AP.726550_TMY3.zip")</f>
        <v>https://climate.onebuilding.org/WMO_Region_4_North_and_Central_America/USA_United_States_of_America/MN_Minnesota/USA_MN_St.Cloud.Rgnl.AP.726550_TMY3.zip</v>
      </c>
    </row>
    <row r="561" spans="1:10" x14ac:dyDescent="0.25">
      <c r="A561" t="s">
        <v>15</v>
      </c>
      <c r="B561" t="s">
        <v>554</v>
      </c>
      <c r="C561" t="s">
        <v>602</v>
      </c>
      <c r="D561">
        <v>726584</v>
      </c>
      <c r="E561" t="s">
        <v>13</v>
      </c>
      <c r="F561">
        <v>44.933</v>
      </c>
      <c r="G561">
        <v>-93.05</v>
      </c>
      <c r="H561">
        <v>-6</v>
      </c>
      <c r="I561">
        <v>220</v>
      </c>
      <c r="J561" t="str">
        <f>HYPERLINK("https://climate.onebuilding.org/WMO_Region_4_North_and_Central_America/USA_United_States_of_America/MN_Minnesota/USA_MN_St.Paul.Downtown.AP-Holman.Field.726584_TMY3.zip")</f>
        <v>https://climate.onebuilding.org/WMO_Region_4_North_and_Central_America/USA_United_States_of_America/MN_Minnesota/USA_MN_St.Paul.Downtown.AP-Holman.Field.726584_TMY3.zip</v>
      </c>
    </row>
    <row r="562" spans="1:10" x14ac:dyDescent="0.25">
      <c r="A562" t="s">
        <v>15</v>
      </c>
      <c r="B562" t="s">
        <v>554</v>
      </c>
      <c r="C562" t="s">
        <v>603</v>
      </c>
      <c r="D562">
        <v>727555</v>
      </c>
      <c r="E562" t="s">
        <v>13</v>
      </c>
      <c r="F562">
        <v>48.067</v>
      </c>
      <c r="G562">
        <v>-96.183000000000007</v>
      </c>
      <c r="H562">
        <v>-6</v>
      </c>
      <c r="I562">
        <v>340</v>
      </c>
      <c r="J562" t="str">
        <f>HYPERLINK("https://climate.onebuilding.org/WMO_Region_4_North_and_Central_America/USA_United_States_of_America/MN_Minnesota/USA_MN_Thief.River.Falls.Rgnl.AP.727555_TMY3.zip")</f>
        <v>https://climate.onebuilding.org/WMO_Region_4_North_and_Central_America/USA_United_States_of_America/MN_Minnesota/USA_MN_Thief.River.Falls.Rgnl.AP.727555_TMY3.zip</v>
      </c>
    </row>
    <row r="563" spans="1:10" x14ac:dyDescent="0.25">
      <c r="A563" t="s">
        <v>15</v>
      </c>
      <c r="B563" t="s">
        <v>554</v>
      </c>
      <c r="C563" t="s">
        <v>604</v>
      </c>
      <c r="D563">
        <v>727444</v>
      </c>
      <c r="E563" t="s">
        <v>13</v>
      </c>
      <c r="F563">
        <v>47.05</v>
      </c>
      <c r="G563">
        <v>-91.75</v>
      </c>
      <c r="H563">
        <v>-6</v>
      </c>
      <c r="I563">
        <v>328</v>
      </c>
      <c r="J563" t="str">
        <f>HYPERLINK("https://climate.onebuilding.org/WMO_Region_4_North_and_Central_America/USA_United_States_of_America/MN_Minnesota/USA_MN_Two.Harbors.Helgeson.Muni.AP.727444_TMY3.zip")</f>
        <v>https://climate.onebuilding.org/WMO_Region_4_North_and_Central_America/USA_United_States_of_America/MN_Minnesota/USA_MN_Two.Harbors.Helgeson.Muni.AP.727444_TMY3.zip</v>
      </c>
    </row>
    <row r="564" spans="1:10" x14ac:dyDescent="0.25">
      <c r="A564" t="s">
        <v>15</v>
      </c>
      <c r="B564" t="s">
        <v>554</v>
      </c>
      <c r="C564" t="s">
        <v>605</v>
      </c>
      <c r="D564">
        <v>727533</v>
      </c>
      <c r="E564" t="s">
        <v>13</v>
      </c>
      <c r="F564">
        <v>45.777000000000001</v>
      </c>
      <c r="G564">
        <v>-96.543999999999997</v>
      </c>
      <c r="H564">
        <v>-6</v>
      </c>
      <c r="I564">
        <v>313</v>
      </c>
      <c r="J564" t="str">
        <f>HYPERLINK("https://climate.onebuilding.org/WMO_Region_4_North_and_Central_America/USA_United_States_of_America/MN_Minnesota/USA_MN_Wheaton.Muni.AP.727533_TMY3.zip")</f>
        <v>https://climate.onebuilding.org/WMO_Region_4_North_and_Central_America/USA_United_States_of_America/MN_Minnesota/USA_MN_Wheaton.Muni.AP.727533_TMY3.zip</v>
      </c>
    </row>
    <row r="565" spans="1:10" x14ac:dyDescent="0.25">
      <c r="A565" t="s">
        <v>15</v>
      </c>
      <c r="B565" t="s">
        <v>554</v>
      </c>
      <c r="C565" t="s">
        <v>606</v>
      </c>
      <c r="D565">
        <v>726576</v>
      </c>
      <c r="E565" t="s">
        <v>13</v>
      </c>
      <c r="F565">
        <v>45.116999999999997</v>
      </c>
      <c r="G565">
        <v>-95.082999999999998</v>
      </c>
      <c r="H565">
        <v>-6</v>
      </c>
      <c r="I565">
        <v>345</v>
      </c>
      <c r="J565" t="str">
        <f>HYPERLINK("https://climate.onebuilding.org/WMO_Region_4_North_and_Central_America/USA_United_States_of_America/MN_Minnesota/USA_MN_Willmar.Muni.AP-Rice.Field.726576_TMY3.zip")</f>
        <v>https://climate.onebuilding.org/WMO_Region_4_North_and_Central_America/USA_United_States_of_America/MN_Minnesota/USA_MN_Willmar.Muni.AP-Rice.Field.726576_TMY3.zip</v>
      </c>
    </row>
    <row r="566" spans="1:10" x14ac:dyDescent="0.25">
      <c r="A566" t="s">
        <v>15</v>
      </c>
      <c r="B566" t="s">
        <v>554</v>
      </c>
      <c r="C566" t="s">
        <v>607</v>
      </c>
      <c r="D566">
        <v>726588</v>
      </c>
      <c r="E566" t="s">
        <v>13</v>
      </c>
      <c r="F566">
        <v>44.082999999999998</v>
      </c>
      <c r="G566">
        <v>-91.7</v>
      </c>
      <c r="H566">
        <v>-6</v>
      </c>
      <c r="I566">
        <v>200</v>
      </c>
      <c r="J566" t="str">
        <f>HYPERLINK("https://climate.onebuilding.org/WMO_Region_4_North_and_Central_America/USA_United_States_of_America/MN_Minnesota/USA_MN_Winona.Muni.AP-Conrad.Field.726588_TMY3.zip")</f>
        <v>https://climate.onebuilding.org/WMO_Region_4_North_and_Central_America/USA_United_States_of_America/MN_Minnesota/USA_MN_Winona.Muni.AP-Conrad.Field.726588_TMY3.zip</v>
      </c>
    </row>
    <row r="567" spans="1:10" x14ac:dyDescent="0.25">
      <c r="A567" t="s">
        <v>15</v>
      </c>
      <c r="B567" t="s">
        <v>554</v>
      </c>
      <c r="C567" t="s">
        <v>608</v>
      </c>
      <c r="D567">
        <v>726587</v>
      </c>
      <c r="E567" t="s">
        <v>13</v>
      </c>
      <c r="F567">
        <v>43.65</v>
      </c>
      <c r="G567">
        <v>-95.582999999999998</v>
      </c>
      <c r="H567">
        <v>-6</v>
      </c>
      <c r="I567">
        <v>480</v>
      </c>
      <c r="J567" t="str">
        <f>HYPERLINK("https://climate.onebuilding.org/WMO_Region_4_North_and_Central_America/USA_United_States_of_America/MN_Minnesota/USA_MN_Worthington.Muni.AP.726587_TMY3.zip")</f>
        <v>https://climate.onebuilding.org/WMO_Region_4_North_and_Central_America/USA_United_States_of_America/MN_Minnesota/USA_MN_Worthington.Muni.AP.726587_TMY3.zip</v>
      </c>
    </row>
    <row r="568" spans="1:10" x14ac:dyDescent="0.25">
      <c r="A568" t="s">
        <v>15</v>
      </c>
      <c r="B568" t="s">
        <v>609</v>
      </c>
      <c r="C568" t="s">
        <v>610</v>
      </c>
      <c r="D568">
        <v>723290</v>
      </c>
      <c r="E568" t="s">
        <v>13</v>
      </c>
      <c r="F568">
        <v>37.232999999999997</v>
      </c>
      <c r="G568">
        <v>-89.566999999999993</v>
      </c>
      <c r="H568">
        <v>-6</v>
      </c>
      <c r="I568">
        <v>103</v>
      </c>
      <c r="J568" t="str">
        <f>HYPERLINK("https://climate.onebuilding.org/WMO_Region_4_North_and_Central_America/USA_United_States_of_America/MO_Missouri/USA_MO_Cape.Girardeau.Rgnl.AP.723290_TMY3.zip")</f>
        <v>https://climate.onebuilding.org/WMO_Region_4_North_and_Central_America/USA_United_States_of_America/MO_Missouri/USA_MO_Cape.Girardeau.Rgnl.AP.723290_TMY3.zip</v>
      </c>
    </row>
    <row r="569" spans="1:10" x14ac:dyDescent="0.25">
      <c r="A569" t="s">
        <v>15</v>
      </c>
      <c r="B569" t="s">
        <v>609</v>
      </c>
      <c r="C569" t="s">
        <v>611</v>
      </c>
      <c r="D569">
        <v>724450</v>
      </c>
      <c r="E569" t="s">
        <v>13</v>
      </c>
      <c r="F569">
        <v>38.817</v>
      </c>
      <c r="G569">
        <v>-92.216999999999999</v>
      </c>
      <c r="H569">
        <v>-6</v>
      </c>
      <c r="I569">
        <v>272</v>
      </c>
      <c r="J569" t="str">
        <f>HYPERLINK("https://climate.onebuilding.org/WMO_Region_4_North_and_Central_America/USA_United_States_of_America/MO_Missouri/USA_MO_Columbia.Rgnl.AP.724450_TMY3.zip")</f>
        <v>https://climate.onebuilding.org/WMO_Region_4_North_and_Central_America/USA_United_States_of_America/MO_Missouri/USA_MO_Columbia.Rgnl.AP.724450_TMY3.zip</v>
      </c>
    </row>
    <row r="570" spans="1:10" x14ac:dyDescent="0.25">
      <c r="A570" t="s">
        <v>15</v>
      </c>
      <c r="B570" t="s">
        <v>609</v>
      </c>
      <c r="C570" t="s">
        <v>612</v>
      </c>
      <c r="D570">
        <v>724454</v>
      </c>
      <c r="E570" t="s">
        <v>13</v>
      </c>
      <c r="F570">
        <v>37.764000000000003</v>
      </c>
      <c r="G570">
        <v>-90.427999999999997</v>
      </c>
      <c r="H570">
        <v>-6</v>
      </c>
      <c r="I570">
        <v>274</v>
      </c>
      <c r="J570" t="str">
        <f>HYPERLINK("https://climate.onebuilding.org/WMO_Region_4_North_and_Central_America/USA_United_States_of_America/MO_Missouri/USA_MO_Farmington.Rgnl.AP.724454_TMY3.zip")</f>
        <v>https://climate.onebuilding.org/WMO_Region_4_North_and_Central_America/USA_United_States_of_America/MO_Missouri/USA_MO_Farmington.Rgnl.AP.724454_TMY3.zip</v>
      </c>
    </row>
    <row r="571" spans="1:10" x14ac:dyDescent="0.25">
      <c r="A571" t="s">
        <v>15</v>
      </c>
      <c r="B571" t="s">
        <v>609</v>
      </c>
      <c r="C571" t="s">
        <v>613</v>
      </c>
      <c r="D571">
        <v>724457</v>
      </c>
      <c r="E571" t="s">
        <v>13</v>
      </c>
      <c r="F571">
        <v>37.75</v>
      </c>
      <c r="G571">
        <v>-92.15</v>
      </c>
      <c r="H571">
        <v>-6</v>
      </c>
      <c r="I571">
        <v>351</v>
      </c>
      <c r="J571" t="str">
        <f>HYPERLINK("https://climate.onebuilding.org/WMO_Region_4_North_and_Central_America/USA_United_States_of_America/MO_Missouri/USA_MO_Fort.Leonard.Wood-Waynesville-St.Robert.Rgnl.AP-Forney.Field.724457_TMY3.zip")</f>
        <v>https://climate.onebuilding.org/WMO_Region_4_North_and_Central_America/USA_United_States_of_America/MO_Missouri/USA_MO_Fort.Leonard.Wood-Waynesville-St.Robert.Rgnl.AP-Forney.Field.724457_TMY3.zip</v>
      </c>
    </row>
    <row r="572" spans="1:10" x14ac:dyDescent="0.25">
      <c r="A572" t="s">
        <v>15</v>
      </c>
      <c r="B572" t="s">
        <v>609</v>
      </c>
      <c r="C572" t="s">
        <v>614</v>
      </c>
      <c r="D572">
        <v>724458</v>
      </c>
      <c r="E572" t="s">
        <v>13</v>
      </c>
      <c r="F572">
        <v>38.582999999999998</v>
      </c>
      <c r="G572">
        <v>-92.15</v>
      </c>
      <c r="H572">
        <v>-6</v>
      </c>
      <c r="I572">
        <v>167</v>
      </c>
      <c r="J572" t="str">
        <f>HYPERLINK("https://climate.onebuilding.org/WMO_Region_4_North_and_Central_America/USA_United_States_of_America/MO_Missouri/USA_MO_Jefferson.City.Meml.AP.724458_TMY3.zip")</f>
        <v>https://climate.onebuilding.org/WMO_Region_4_North_and_Central_America/USA_United_States_of_America/MO_Missouri/USA_MO_Jefferson.City.Meml.AP.724458_TMY3.zip</v>
      </c>
    </row>
    <row r="573" spans="1:10" x14ac:dyDescent="0.25">
      <c r="A573" t="s">
        <v>15</v>
      </c>
      <c r="B573" t="s">
        <v>609</v>
      </c>
      <c r="C573" t="s">
        <v>615</v>
      </c>
      <c r="D573">
        <v>723495</v>
      </c>
      <c r="E573" t="s">
        <v>13</v>
      </c>
      <c r="F573">
        <v>37.15</v>
      </c>
      <c r="G573">
        <v>-94.5</v>
      </c>
      <c r="H573">
        <v>-6</v>
      </c>
      <c r="I573">
        <v>297</v>
      </c>
      <c r="J573" t="str">
        <f>HYPERLINK("https://climate.onebuilding.org/WMO_Region_4_North_and_Central_America/USA_United_States_of_America/MO_Missouri/USA_MO_Joplin.Rgnl.AP.723495_TMY3.zip")</f>
        <v>https://climate.onebuilding.org/WMO_Region_4_North_and_Central_America/USA_United_States_of_America/MO_Missouri/USA_MO_Joplin.Rgnl.AP.723495_TMY3.zip</v>
      </c>
    </row>
    <row r="574" spans="1:10" x14ac:dyDescent="0.25">
      <c r="A574" t="s">
        <v>15</v>
      </c>
      <c r="B574" t="s">
        <v>609</v>
      </c>
      <c r="C574" t="s">
        <v>616</v>
      </c>
      <c r="D574">
        <v>724459</v>
      </c>
      <c r="E574" t="s">
        <v>13</v>
      </c>
      <c r="F574">
        <v>38.1</v>
      </c>
      <c r="G574">
        <v>-92.55</v>
      </c>
      <c r="H574">
        <v>-6</v>
      </c>
      <c r="I574">
        <v>265</v>
      </c>
      <c r="J574" t="str">
        <f>HYPERLINK("https://climate.onebuilding.org/WMO_Region_4_North_and_Central_America/USA_United_States_of_America/MO_Missouri/USA_MO_Kaiser-Osage.Beach-Fine.Meml.AP.724459_TMY3.zip")</f>
        <v>https://climate.onebuilding.org/WMO_Region_4_North_and_Central_America/USA_United_States_of_America/MO_Missouri/USA_MO_Kaiser-Osage.Beach-Fine.Meml.AP.724459_TMY3.zip</v>
      </c>
    </row>
    <row r="575" spans="1:10" x14ac:dyDescent="0.25">
      <c r="A575" t="s">
        <v>15</v>
      </c>
      <c r="B575" t="s">
        <v>609</v>
      </c>
      <c r="C575" t="s">
        <v>617</v>
      </c>
      <c r="D575">
        <v>724463</v>
      </c>
      <c r="E575" t="s">
        <v>13</v>
      </c>
      <c r="F575">
        <v>39.116999999999997</v>
      </c>
      <c r="G575">
        <v>-94.6</v>
      </c>
      <c r="H575">
        <v>-6</v>
      </c>
      <c r="I575">
        <v>226</v>
      </c>
      <c r="J575" t="str">
        <f>HYPERLINK("https://climate.onebuilding.org/WMO_Region_4_North_and_Central_America/USA_United_States_of_America/MO_Missouri/USA_MO_Kansas.City-Wheeler.Downtown.AP.724463_TMY3.zip")</f>
        <v>https://climate.onebuilding.org/WMO_Region_4_North_and_Central_America/USA_United_States_of_America/MO_Missouri/USA_MO_Kansas.City-Wheeler.Downtown.AP.724463_TMY3.zip</v>
      </c>
    </row>
    <row r="576" spans="1:10" x14ac:dyDescent="0.25">
      <c r="A576" t="s">
        <v>15</v>
      </c>
      <c r="B576" t="s">
        <v>609</v>
      </c>
      <c r="C576" t="s">
        <v>618</v>
      </c>
      <c r="D576">
        <v>724460</v>
      </c>
      <c r="E576" t="s">
        <v>13</v>
      </c>
      <c r="F576">
        <v>39.299999999999997</v>
      </c>
      <c r="G576">
        <v>-94.716999999999999</v>
      </c>
      <c r="H576">
        <v>-6</v>
      </c>
      <c r="I576">
        <v>298</v>
      </c>
      <c r="J576" t="str">
        <f>HYPERLINK("https://climate.onebuilding.org/WMO_Region_4_North_and_Central_America/USA_United_States_of_America/MO_Missouri/USA_MO_Kansas.City.Intl.AP.724460_TMY3.zip")</f>
        <v>https://climate.onebuilding.org/WMO_Region_4_North_and_Central_America/USA_United_States_of_America/MO_Missouri/USA_MO_Kansas.City.Intl.AP.724460_TMY3.zip</v>
      </c>
    </row>
    <row r="577" spans="1:10" x14ac:dyDescent="0.25">
      <c r="A577" t="s">
        <v>15</v>
      </c>
      <c r="B577" t="s">
        <v>609</v>
      </c>
      <c r="C577" t="s">
        <v>619</v>
      </c>
      <c r="D577">
        <v>724455</v>
      </c>
      <c r="E577" t="s">
        <v>13</v>
      </c>
      <c r="F577">
        <v>40.1</v>
      </c>
      <c r="G577">
        <v>-92.55</v>
      </c>
      <c r="H577">
        <v>-6</v>
      </c>
      <c r="I577">
        <v>294</v>
      </c>
      <c r="J577" t="str">
        <f>HYPERLINK("https://climate.onebuilding.org/WMO_Region_4_North_and_Central_America/USA_United_States_of_America/MO_Missouri/USA_MO_Kirksville.Rgnl.AP.724455_TMY3.zip")</f>
        <v>https://climate.onebuilding.org/WMO_Region_4_North_and_Central_America/USA_United_States_of_America/MO_Missouri/USA_MO_Kirksville.Rgnl.AP.724455_TMY3.zip</v>
      </c>
    </row>
    <row r="578" spans="1:10" x14ac:dyDescent="0.25">
      <c r="A578" t="s">
        <v>15</v>
      </c>
      <c r="B578" t="s">
        <v>609</v>
      </c>
      <c r="C578" t="s">
        <v>620</v>
      </c>
      <c r="D578">
        <v>723300</v>
      </c>
      <c r="E578" t="s">
        <v>13</v>
      </c>
      <c r="F578">
        <v>36.767000000000003</v>
      </c>
      <c r="G578">
        <v>-90.325000000000003</v>
      </c>
      <c r="H578">
        <v>-6</v>
      </c>
      <c r="I578">
        <v>146</v>
      </c>
      <c r="J578" t="str">
        <f>HYPERLINK("https://climate.onebuilding.org/WMO_Region_4_North_and_Central_America/USA_United_States_of_America/MO_Missouri/USA_MO_Poplar.Bluff.Muni.AP.723300_TMY3.zip")</f>
        <v>https://climate.onebuilding.org/WMO_Region_4_North_and_Central_America/USA_United_States_of_America/MO_Missouri/USA_MO_Poplar.Bluff.Muni.AP.723300_TMY3.zip</v>
      </c>
    </row>
    <row r="579" spans="1:10" x14ac:dyDescent="0.25">
      <c r="A579" t="s">
        <v>15</v>
      </c>
      <c r="B579" t="s">
        <v>609</v>
      </c>
      <c r="C579" t="s">
        <v>621</v>
      </c>
      <c r="D579">
        <v>724420</v>
      </c>
      <c r="E579" t="s">
        <v>13</v>
      </c>
      <c r="F579">
        <v>38.133000000000003</v>
      </c>
      <c r="G579">
        <v>-91.766999999999996</v>
      </c>
      <c r="H579">
        <v>-6</v>
      </c>
      <c r="I579">
        <v>336</v>
      </c>
      <c r="J579" t="str">
        <f>HYPERLINK("https://climate.onebuilding.org/WMO_Region_4_North_and_Central_America/USA_United_States_of_America/MO_Missouri/USA_MO_Rolla.Natl.AP.724420_TMY3.zip")</f>
        <v>https://climate.onebuilding.org/WMO_Region_4_North_and_Central_America/USA_United_States_of_America/MO_Missouri/USA_MO_Rolla.Natl.AP.724420_TMY3.zip</v>
      </c>
    </row>
    <row r="580" spans="1:10" x14ac:dyDescent="0.25">
      <c r="A580" t="s">
        <v>15</v>
      </c>
      <c r="B580" t="s">
        <v>609</v>
      </c>
      <c r="C580" t="s">
        <v>622</v>
      </c>
      <c r="D580">
        <v>724400</v>
      </c>
      <c r="E580" t="s">
        <v>13</v>
      </c>
      <c r="F580">
        <v>37.232999999999997</v>
      </c>
      <c r="G580">
        <v>-93.382999999999996</v>
      </c>
      <c r="H580">
        <v>-6</v>
      </c>
      <c r="I580">
        <v>384</v>
      </c>
      <c r="J580" t="str">
        <f>HYPERLINK("https://climate.onebuilding.org/WMO_Region_4_North_and_Central_America/USA_United_States_of_America/MO_Missouri/USA_MO_Springfield-Branson.Natl.AP.724400_TMY3.zip")</f>
        <v>https://climate.onebuilding.org/WMO_Region_4_North_and_Central_America/USA_United_States_of_America/MO_Missouri/USA_MO_Springfield-Branson.Natl.AP.724400_TMY3.zip</v>
      </c>
    </row>
    <row r="581" spans="1:10" x14ac:dyDescent="0.25">
      <c r="A581" t="s">
        <v>15</v>
      </c>
      <c r="B581" t="s">
        <v>609</v>
      </c>
      <c r="C581" t="s">
        <v>623</v>
      </c>
      <c r="D581">
        <v>724490</v>
      </c>
      <c r="E581" t="s">
        <v>13</v>
      </c>
      <c r="F581">
        <v>39.767000000000003</v>
      </c>
      <c r="G581">
        <v>-94.9</v>
      </c>
      <c r="H581">
        <v>-6</v>
      </c>
      <c r="I581">
        <v>247</v>
      </c>
      <c r="J581" t="str">
        <f>HYPERLINK("https://climate.onebuilding.org/WMO_Region_4_North_and_Central_America/USA_United_States_of_America/MO_Missouri/USA_MO_St.Joseph-Rosecrans.Meml.AP.724490_TMY3.zip")</f>
        <v>https://climate.onebuilding.org/WMO_Region_4_North_and_Central_America/USA_United_States_of_America/MO_Missouri/USA_MO_St.Joseph-Rosecrans.Meml.AP.724490_TMY3.zip</v>
      </c>
    </row>
    <row r="582" spans="1:10" x14ac:dyDescent="0.25">
      <c r="A582" t="s">
        <v>15</v>
      </c>
      <c r="B582" t="s">
        <v>609</v>
      </c>
      <c r="C582" t="s">
        <v>624</v>
      </c>
      <c r="D582">
        <v>724340</v>
      </c>
      <c r="E582" t="s">
        <v>13</v>
      </c>
      <c r="F582">
        <v>38.75</v>
      </c>
      <c r="G582">
        <v>-90.367000000000004</v>
      </c>
      <c r="H582">
        <v>-6</v>
      </c>
      <c r="I582">
        <v>173</v>
      </c>
      <c r="J582" t="str">
        <f>HYPERLINK("https://climate.onebuilding.org/WMO_Region_4_North_and_Central_America/USA_United_States_of_America/MO_Missouri/USA_MO_St.Louis-Lambert.Intl.AP.724340_TMY3.zip")</f>
        <v>https://climate.onebuilding.org/WMO_Region_4_North_and_Central_America/USA_United_States_of_America/MO_Missouri/USA_MO_St.Louis-Lambert.Intl.AP.724340_TMY3.zip</v>
      </c>
    </row>
    <row r="583" spans="1:10" x14ac:dyDescent="0.25">
      <c r="A583" t="s">
        <v>15</v>
      </c>
      <c r="B583" t="s">
        <v>609</v>
      </c>
      <c r="C583" t="s">
        <v>625</v>
      </c>
      <c r="D583">
        <v>724345</v>
      </c>
      <c r="E583" t="s">
        <v>13</v>
      </c>
      <c r="F583">
        <v>38.65</v>
      </c>
      <c r="G583">
        <v>-90.65</v>
      </c>
      <c r="H583">
        <v>-6</v>
      </c>
      <c r="I583">
        <v>141</v>
      </c>
      <c r="J583" t="str">
        <f>HYPERLINK("https://climate.onebuilding.org/WMO_Region_4_North_and_Central_America/USA_United_States_of_America/MO_Missouri/USA_MO_St.Louis-Spirit.of.St.Louis.AP.724345_TMY3.zip")</f>
        <v>https://climate.onebuilding.org/WMO_Region_4_North_and_Central_America/USA_United_States_of_America/MO_Missouri/USA_MO_St.Louis-Spirit.of.St.Louis.AP.724345_TMY3.zip</v>
      </c>
    </row>
    <row r="584" spans="1:10" x14ac:dyDescent="0.25">
      <c r="A584" t="s">
        <v>15</v>
      </c>
      <c r="B584" t="s">
        <v>609</v>
      </c>
      <c r="C584" t="s">
        <v>626</v>
      </c>
      <c r="D584">
        <v>724467</v>
      </c>
      <c r="E584" t="s">
        <v>13</v>
      </c>
      <c r="F584">
        <v>38.716999999999999</v>
      </c>
      <c r="G584">
        <v>-93.55</v>
      </c>
      <c r="H584">
        <v>-6</v>
      </c>
      <c r="I584">
        <v>255</v>
      </c>
      <c r="J584" t="str">
        <f>HYPERLINK("https://climate.onebuilding.org/WMO_Region_4_North_and_Central_America/USA_United_States_of_America/MO_Missouri/USA_MO_Whiteman.AFB.724467_TMY3.zip")</f>
        <v>https://climate.onebuilding.org/WMO_Region_4_North_and_Central_America/USA_United_States_of_America/MO_Missouri/USA_MO_Whiteman.AFB.724467_TMY3.zip</v>
      </c>
    </row>
    <row r="585" spans="1:10" x14ac:dyDescent="0.25">
      <c r="A585" t="s">
        <v>15</v>
      </c>
      <c r="B585" t="s">
        <v>627</v>
      </c>
      <c r="C585" t="s">
        <v>628</v>
      </c>
      <c r="D585">
        <v>747686</v>
      </c>
      <c r="E585" t="s">
        <v>13</v>
      </c>
      <c r="F585">
        <v>30.41</v>
      </c>
      <c r="G585">
        <v>-88.92</v>
      </c>
      <c r="H585">
        <v>-6</v>
      </c>
      <c r="I585">
        <v>8</v>
      </c>
      <c r="J585" t="str">
        <f>HYPERLINK("https://climate.onebuilding.org/WMO_Region_4_North_and_Central_America/USA_United_States_of_America/MS_Mississippi/USA_MS_Biloxi-Keesler.AFB.747686_TMY3.zip")</f>
        <v>https://climate.onebuilding.org/WMO_Region_4_North_and_Central_America/USA_United_States_of_America/MS_Mississippi/USA_MS_Biloxi-Keesler.AFB.747686_TMY3.zip</v>
      </c>
    </row>
    <row r="586" spans="1:10" x14ac:dyDescent="0.25">
      <c r="A586" t="s">
        <v>15</v>
      </c>
      <c r="B586" t="s">
        <v>627</v>
      </c>
      <c r="C586" t="s">
        <v>629</v>
      </c>
      <c r="D586">
        <v>723306</v>
      </c>
      <c r="E586" t="s">
        <v>13</v>
      </c>
      <c r="F586">
        <v>33.65</v>
      </c>
      <c r="G586">
        <v>-88.45</v>
      </c>
      <c r="H586">
        <v>-6</v>
      </c>
      <c r="I586">
        <v>68</v>
      </c>
      <c r="J586" t="str">
        <f>HYPERLINK("https://climate.onebuilding.org/WMO_Region_4_North_and_Central_America/USA_United_States_of_America/MS_Mississippi/USA_MS_Columbus.AFB.723306_TMY3.zip")</f>
        <v>https://climate.onebuilding.org/WMO_Region_4_North_and_Central_America/USA_United_States_of_America/MS_Mississippi/USA_MS_Columbus.AFB.723306_TMY3.zip</v>
      </c>
    </row>
    <row r="587" spans="1:10" x14ac:dyDescent="0.25">
      <c r="A587" t="s">
        <v>15</v>
      </c>
      <c r="B587" t="s">
        <v>627</v>
      </c>
      <c r="C587" t="s">
        <v>630</v>
      </c>
      <c r="D587">
        <v>723307</v>
      </c>
      <c r="E587" t="s">
        <v>13</v>
      </c>
      <c r="F587">
        <v>33.450000000000003</v>
      </c>
      <c r="G587">
        <v>-88.582999999999998</v>
      </c>
      <c r="H587">
        <v>-6</v>
      </c>
      <c r="I587">
        <v>80</v>
      </c>
      <c r="J587" t="str">
        <f>HYPERLINK("https://climate.onebuilding.org/WMO_Region_4_North_and_Central_America/USA_United_States_of_America/MS_Mississippi/USA_MS_Columbus-Golden.Triangle.Rgnl.AP.723307_TMY3.zip")</f>
        <v>https://climate.onebuilding.org/WMO_Region_4_North_and_Central_America/USA_United_States_of_America/MS_Mississippi/USA_MS_Columbus-Golden.Triangle.Rgnl.AP.723307_TMY3.zip</v>
      </c>
    </row>
    <row r="588" spans="1:10" x14ac:dyDescent="0.25">
      <c r="A588" t="s">
        <v>15</v>
      </c>
      <c r="B588" t="s">
        <v>627</v>
      </c>
      <c r="C588" t="s">
        <v>631</v>
      </c>
      <c r="D588">
        <v>722356</v>
      </c>
      <c r="E588" t="s">
        <v>13</v>
      </c>
      <c r="F588">
        <v>33.482999999999997</v>
      </c>
      <c r="G588">
        <v>-90.983000000000004</v>
      </c>
      <c r="H588">
        <v>-6</v>
      </c>
      <c r="I588">
        <v>42</v>
      </c>
      <c r="J588" t="str">
        <f>HYPERLINK("https://climate.onebuilding.org/WMO_Region_4_North_and_Central_America/USA_United_States_of_America/MS_Mississippi/USA_MS_Greenville.Mid-Delta.AP.722356_TMY3.zip")</f>
        <v>https://climate.onebuilding.org/WMO_Region_4_North_and_Central_America/USA_United_States_of_America/MS_Mississippi/USA_MS_Greenville.Mid-Delta.AP.722356_TMY3.zip</v>
      </c>
    </row>
    <row r="589" spans="1:10" x14ac:dyDescent="0.25">
      <c r="A589" t="s">
        <v>15</v>
      </c>
      <c r="B589" t="s">
        <v>627</v>
      </c>
      <c r="C589" t="s">
        <v>632</v>
      </c>
      <c r="D589">
        <v>747580</v>
      </c>
      <c r="E589" t="s">
        <v>13</v>
      </c>
      <c r="F589">
        <v>33.5</v>
      </c>
      <c r="G589">
        <v>-90.082999999999998</v>
      </c>
      <c r="H589">
        <v>-6</v>
      </c>
      <c r="I589">
        <v>47</v>
      </c>
      <c r="J589" t="str">
        <f>HYPERLINK("https://climate.onebuilding.org/WMO_Region_4_North_and_Central_America/USA_United_States_of_America/MS_Mississippi/USA_MS_Greenwood-Leflore.AP.747580_TMY3.zip")</f>
        <v>https://climate.onebuilding.org/WMO_Region_4_North_and_Central_America/USA_United_States_of_America/MS_Mississippi/USA_MS_Greenwood-Leflore.AP.747580_TMY3.zip</v>
      </c>
    </row>
    <row r="590" spans="1:10" x14ac:dyDescent="0.25">
      <c r="A590" t="s">
        <v>15</v>
      </c>
      <c r="B590" t="s">
        <v>627</v>
      </c>
      <c r="C590" t="s">
        <v>633</v>
      </c>
      <c r="D590">
        <v>747570</v>
      </c>
      <c r="E590" t="s">
        <v>13</v>
      </c>
      <c r="F590">
        <v>30.4</v>
      </c>
      <c r="G590">
        <v>-89.066999999999993</v>
      </c>
      <c r="H590">
        <v>-6</v>
      </c>
      <c r="I590">
        <v>9</v>
      </c>
      <c r="J590" t="str">
        <f>HYPERLINK("https://climate.onebuilding.org/WMO_Region_4_North_and_Central_America/USA_United_States_of_America/MS_Mississippi/USA_MS_Gulfport-Biloxi.Intl.AP.747570_TMY3.zip")</f>
        <v>https://climate.onebuilding.org/WMO_Region_4_North_and_Central_America/USA_United_States_of_America/MS_Mississippi/USA_MS_Gulfport-Biloxi.Intl.AP.747570_TMY3.zip</v>
      </c>
    </row>
    <row r="591" spans="1:10" x14ac:dyDescent="0.25">
      <c r="A591" t="s">
        <v>15</v>
      </c>
      <c r="B591" t="s">
        <v>627</v>
      </c>
      <c r="C591" t="s">
        <v>634</v>
      </c>
      <c r="D591">
        <v>722348</v>
      </c>
      <c r="E591" t="s">
        <v>13</v>
      </c>
      <c r="F591">
        <v>31.466999999999999</v>
      </c>
      <c r="G591">
        <v>-89.332999999999998</v>
      </c>
      <c r="H591">
        <v>-6</v>
      </c>
      <c r="I591">
        <v>93</v>
      </c>
      <c r="J591" t="str">
        <f>HYPERLINK("https://climate.onebuilding.org/WMO_Region_4_North_and_Central_America/USA_United_States_of_America/MS_Mississippi/USA_MS_Hattiesburg-Laurel.Rgnl.AP.722348_TMY3.zip")</f>
        <v>https://climate.onebuilding.org/WMO_Region_4_North_and_Central_America/USA_United_States_of_America/MS_Mississippi/USA_MS_Hattiesburg-Laurel.Rgnl.AP.722348_TMY3.zip</v>
      </c>
    </row>
    <row r="592" spans="1:10" x14ac:dyDescent="0.25">
      <c r="A592" t="s">
        <v>15</v>
      </c>
      <c r="B592" t="s">
        <v>627</v>
      </c>
      <c r="C592" t="s">
        <v>635</v>
      </c>
      <c r="D592">
        <v>722350</v>
      </c>
      <c r="E592" t="s">
        <v>13</v>
      </c>
      <c r="F592">
        <v>32.317</v>
      </c>
      <c r="G592">
        <v>-90.082999999999998</v>
      </c>
      <c r="H592">
        <v>-6</v>
      </c>
      <c r="I592">
        <v>94</v>
      </c>
      <c r="J592" t="str">
        <f>HYPERLINK("https://climate.onebuilding.org/WMO_Region_4_North_and_Central_America/USA_United_States_of_America/MS_Mississippi/USA_MS_Jackson-Evers.Intl.AP.722350_TMY3.zip")</f>
        <v>https://climate.onebuilding.org/WMO_Region_4_North_and_Central_America/USA_United_States_of_America/MS_Mississippi/USA_MS_Jackson-Evers.Intl.AP.722350_TMY3.zip</v>
      </c>
    </row>
    <row r="593" spans="1:10" x14ac:dyDescent="0.25">
      <c r="A593" t="s">
        <v>15</v>
      </c>
      <c r="B593" t="s">
        <v>627</v>
      </c>
      <c r="C593" t="s">
        <v>636</v>
      </c>
      <c r="D593">
        <v>722358</v>
      </c>
      <c r="E593" t="s">
        <v>13</v>
      </c>
      <c r="F593">
        <v>31.18</v>
      </c>
      <c r="G593">
        <v>-90.466999999999999</v>
      </c>
      <c r="H593">
        <v>-6</v>
      </c>
      <c r="I593">
        <v>126</v>
      </c>
      <c r="J593" t="str">
        <f>HYPERLINK("https://climate.onebuilding.org/WMO_Region_4_North_and_Central_America/USA_United_States_of_America/MS_Mississippi/USA_MS_McComb-Pike.County.AP-Lewis.Field.722358_TMY3.zip")</f>
        <v>https://climate.onebuilding.org/WMO_Region_4_North_and_Central_America/USA_United_States_of_America/MS_Mississippi/USA_MS_McComb-Pike.County.AP-Lewis.Field.722358_TMY3.zip</v>
      </c>
    </row>
    <row r="594" spans="1:10" x14ac:dyDescent="0.25">
      <c r="A594" t="s">
        <v>15</v>
      </c>
      <c r="B594" t="s">
        <v>627</v>
      </c>
      <c r="C594" t="s">
        <v>637</v>
      </c>
      <c r="D594">
        <v>722340</v>
      </c>
      <c r="E594" t="s">
        <v>13</v>
      </c>
      <c r="F594">
        <v>32.332999999999998</v>
      </c>
      <c r="G594">
        <v>-88.75</v>
      </c>
      <c r="H594">
        <v>-6</v>
      </c>
      <c r="I594">
        <v>90</v>
      </c>
      <c r="J594" t="str">
        <f>HYPERLINK("https://climate.onebuilding.org/WMO_Region_4_North_and_Central_America/USA_United_States_of_America/MS_Mississippi/USA_MS_Meridian.Rgnl.AP-Key.Field.722340_TMY3.zip")</f>
        <v>https://climate.onebuilding.org/WMO_Region_4_North_and_Central_America/USA_United_States_of_America/MS_Mississippi/USA_MS_Meridian.Rgnl.AP-Key.Field.722340_TMY3.zip</v>
      </c>
    </row>
    <row r="595" spans="1:10" x14ac:dyDescent="0.25">
      <c r="A595" t="s">
        <v>15</v>
      </c>
      <c r="B595" t="s">
        <v>627</v>
      </c>
      <c r="C595" t="s">
        <v>638</v>
      </c>
      <c r="D595">
        <v>722345</v>
      </c>
      <c r="E595" t="s">
        <v>13</v>
      </c>
      <c r="F595">
        <v>32.549999999999997</v>
      </c>
      <c r="G595">
        <v>-88.566999999999993</v>
      </c>
      <c r="H595">
        <v>-6</v>
      </c>
      <c r="I595">
        <v>83</v>
      </c>
      <c r="J595" t="str">
        <f>HYPERLINK("https://climate.onebuilding.org/WMO_Region_4_North_and_Central_America/USA_United_States_of_America/MS_Mississippi/USA_MS_NAS.Meridian.722345_TMY3.zip")</f>
        <v>https://climate.onebuilding.org/WMO_Region_4_North_and_Central_America/USA_United_States_of_America/MS_Mississippi/USA_MS_NAS.Meridian.722345_TMY3.zip</v>
      </c>
    </row>
    <row r="596" spans="1:10" x14ac:dyDescent="0.25">
      <c r="A596" t="s">
        <v>15</v>
      </c>
      <c r="B596" t="s">
        <v>627</v>
      </c>
      <c r="C596" t="s">
        <v>639</v>
      </c>
      <c r="D596">
        <v>722357</v>
      </c>
      <c r="E596" t="s">
        <v>13</v>
      </c>
      <c r="F596">
        <v>31.617000000000001</v>
      </c>
      <c r="G596">
        <v>-91.3</v>
      </c>
      <c r="H596">
        <v>-6</v>
      </c>
      <c r="I596">
        <v>83</v>
      </c>
      <c r="J596" t="str">
        <f>HYPERLINK("https://climate.onebuilding.org/WMO_Region_4_North_and_Central_America/USA_United_States_of_America/MS_Mississippi/USA_MS_Natchez-Adams.County.AP-Hardy-Anders.Field.722357_TMY3.zip")</f>
        <v>https://climate.onebuilding.org/WMO_Region_4_North_and_Central_America/USA_United_States_of_America/MS_Mississippi/USA_MS_Natchez-Adams.County.AP-Hardy-Anders.Field.722357_TMY3.zip</v>
      </c>
    </row>
    <row r="597" spans="1:10" x14ac:dyDescent="0.25">
      <c r="A597" t="s">
        <v>15</v>
      </c>
      <c r="B597" t="s">
        <v>627</v>
      </c>
      <c r="C597" t="s">
        <v>640</v>
      </c>
      <c r="D597">
        <v>723320</v>
      </c>
      <c r="E597" t="s">
        <v>13</v>
      </c>
      <c r="F597">
        <v>34.267000000000003</v>
      </c>
      <c r="G597">
        <v>-88.766999999999996</v>
      </c>
      <c r="H597">
        <v>-6</v>
      </c>
      <c r="I597">
        <v>110</v>
      </c>
      <c r="J597" t="str">
        <f>HYPERLINK("https://climate.onebuilding.org/WMO_Region_4_North_and_Central_America/USA_United_States_of_America/MS_Mississippi/USA_MS_Tupelo.Rgnl.AP.723320_TMY3.zip")</f>
        <v>https://climate.onebuilding.org/WMO_Region_4_North_and_Central_America/USA_United_States_of_America/MS_Mississippi/USA_MS_Tupelo.Rgnl.AP.723320_TMY3.zip</v>
      </c>
    </row>
    <row r="598" spans="1:10" x14ac:dyDescent="0.25">
      <c r="A598" t="s">
        <v>15</v>
      </c>
      <c r="B598" t="s">
        <v>641</v>
      </c>
      <c r="C598" t="s">
        <v>642</v>
      </c>
      <c r="D598">
        <v>726770</v>
      </c>
      <c r="E598" t="s">
        <v>13</v>
      </c>
      <c r="F598">
        <v>45.8</v>
      </c>
      <c r="G598">
        <v>-108.55</v>
      </c>
      <c r="H598">
        <v>-7</v>
      </c>
      <c r="I598">
        <v>1087</v>
      </c>
      <c r="J598" t="str">
        <f>HYPERLINK("https://climate.onebuilding.org/WMO_Region_4_North_and_Central_America/USA_United_States_of_America/MT_Montana/USA_MT_Billings.Logan.Intl.AP.726770_TMY3.zip")</f>
        <v>https://climate.onebuilding.org/WMO_Region_4_North_and_Central_America/USA_United_States_of_America/MT_Montana/USA_MT_Billings.Logan.Intl.AP.726770_TMY3.zip</v>
      </c>
    </row>
    <row r="599" spans="1:10" x14ac:dyDescent="0.25">
      <c r="A599" t="s">
        <v>15</v>
      </c>
      <c r="B599" t="s">
        <v>641</v>
      </c>
      <c r="C599" t="s">
        <v>643</v>
      </c>
      <c r="D599">
        <v>726797</v>
      </c>
      <c r="E599" t="s">
        <v>13</v>
      </c>
      <c r="F599">
        <v>45.77</v>
      </c>
      <c r="G599">
        <v>-111.15</v>
      </c>
      <c r="H599">
        <v>-7</v>
      </c>
      <c r="I599">
        <v>1349</v>
      </c>
      <c r="J599" t="str">
        <f>HYPERLINK("https://climate.onebuilding.org/WMO_Region_4_North_and_Central_America/USA_United_States_of_America/MT_Montana/USA_MT_Bozeman.Yellowstone.Intl.AP.726797_TMY3.zip")</f>
        <v>https://climate.onebuilding.org/WMO_Region_4_North_and_Central_America/USA_United_States_of_America/MT_Montana/USA_MT_Bozeman.Yellowstone.Intl.AP.726797_TMY3.zip</v>
      </c>
    </row>
    <row r="600" spans="1:10" x14ac:dyDescent="0.25">
      <c r="A600" t="s">
        <v>15</v>
      </c>
      <c r="B600" t="s">
        <v>641</v>
      </c>
      <c r="C600" t="s">
        <v>644</v>
      </c>
      <c r="D600">
        <v>727740</v>
      </c>
      <c r="E600" t="s">
        <v>13</v>
      </c>
      <c r="F600">
        <v>45.95</v>
      </c>
      <c r="G600">
        <v>-112.5</v>
      </c>
      <c r="H600">
        <v>-7</v>
      </c>
      <c r="I600">
        <v>1689</v>
      </c>
      <c r="J600" t="str">
        <f>HYPERLINK("https://climate.onebuilding.org/WMO_Region_4_North_and_Central_America/USA_United_States_of_America/MT_Montana/USA_MT_Butte-Mooney.AP.727740_TMY3.zip")</f>
        <v>https://climate.onebuilding.org/WMO_Region_4_North_and_Central_America/USA_United_States_of_America/MT_Montana/USA_MT_Butte-Mooney.AP.727740_TMY3.zip</v>
      </c>
    </row>
    <row r="601" spans="1:10" x14ac:dyDescent="0.25">
      <c r="A601" t="s">
        <v>15</v>
      </c>
      <c r="B601" t="s">
        <v>641</v>
      </c>
      <c r="C601" t="s">
        <v>645</v>
      </c>
      <c r="D601">
        <v>727690</v>
      </c>
      <c r="E601" t="s">
        <v>13</v>
      </c>
      <c r="F601">
        <v>48.6</v>
      </c>
      <c r="G601">
        <v>-112.367</v>
      </c>
      <c r="H601">
        <v>-7</v>
      </c>
      <c r="I601">
        <v>1170</v>
      </c>
      <c r="J601" t="str">
        <f>HYPERLINK("https://climate.onebuilding.org/WMO_Region_4_North_and_Central_America/USA_United_States_of_America/MT_Montana/USA_MT_Cut.Bank.Intl.AP.727690_TMY3.zip")</f>
        <v>https://climate.onebuilding.org/WMO_Region_4_North_and_Central_America/USA_United_States_of_America/MT_Montana/USA_MT_Cut.Bank.Intl.AP.727690_TMY3.zip</v>
      </c>
    </row>
    <row r="602" spans="1:10" x14ac:dyDescent="0.25">
      <c r="A602" t="s">
        <v>15</v>
      </c>
      <c r="B602" t="s">
        <v>641</v>
      </c>
      <c r="C602" t="s">
        <v>646</v>
      </c>
      <c r="D602">
        <v>727680</v>
      </c>
      <c r="E602" t="s">
        <v>13</v>
      </c>
      <c r="F602">
        <v>48.216999999999999</v>
      </c>
      <c r="G602">
        <v>-106.617</v>
      </c>
      <c r="H602">
        <v>-7</v>
      </c>
      <c r="I602">
        <v>699</v>
      </c>
      <c r="J602" t="str">
        <f>HYPERLINK("https://climate.onebuilding.org/WMO_Region_4_North_and_Central_America/USA_United_States_of_America/MT_Montana/USA_MT_Glasgow.Intl.AP.727680_TMY3.zip")</f>
        <v>https://climate.onebuilding.org/WMO_Region_4_North_and_Central_America/USA_United_States_of_America/MT_Montana/USA_MT_Glasgow.Intl.AP.727680_TMY3.zip</v>
      </c>
    </row>
    <row r="603" spans="1:10" x14ac:dyDescent="0.25">
      <c r="A603" t="s">
        <v>15</v>
      </c>
      <c r="B603" t="s">
        <v>641</v>
      </c>
      <c r="C603" t="s">
        <v>647</v>
      </c>
      <c r="D603">
        <v>726676</v>
      </c>
      <c r="E603" t="s">
        <v>13</v>
      </c>
      <c r="F603">
        <v>47.133000000000003</v>
      </c>
      <c r="G603">
        <v>-104.8</v>
      </c>
      <c r="H603">
        <v>-7</v>
      </c>
      <c r="I603">
        <v>749</v>
      </c>
      <c r="J603" t="str">
        <f>HYPERLINK("https://climate.onebuilding.org/WMO_Region_4_North_and_Central_America/USA_United_States_of_America/MT_Montana/USA_MT_Glendive-Dawson.Community.AP.726676_TMY3.zip")</f>
        <v>https://climate.onebuilding.org/WMO_Region_4_North_and_Central_America/USA_United_States_of_America/MT_Montana/USA_MT_Glendive-Dawson.Community.AP.726676_TMY3.zip</v>
      </c>
    </row>
    <row r="604" spans="1:10" x14ac:dyDescent="0.25">
      <c r="A604" t="s">
        <v>15</v>
      </c>
      <c r="B604" t="s">
        <v>641</v>
      </c>
      <c r="C604" t="s">
        <v>648</v>
      </c>
      <c r="D604">
        <v>727750</v>
      </c>
      <c r="E604" t="s">
        <v>13</v>
      </c>
      <c r="F604">
        <v>47.466999999999999</v>
      </c>
      <c r="G604">
        <v>-111.383</v>
      </c>
      <c r="H604">
        <v>-7</v>
      </c>
      <c r="I604">
        <v>1117</v>
      </c>
      <c r="J604" t="str">
        <f>HYPERLINK("https://climate.onebuilding.org/WMO_Region_4_North_and_Central_America/USA_United_States_of_America/MT_Montana/USA_MT_Great.Falls.Intl.AP.727750_TMY3.zip")</f>
        <v>https://climate.onebuilding.org/WMO_Region_4_North_and_Central_America/USA_United_States_of_America/MT_Montana/USA_MT_Great.Falls.Intl.AP.727750_TMY3.zip</v>
      </c>
    </row>
    <row r="605" spans="1:10" x14ac:dyDescent="0.25">
      <c r="A605" t="s">
        <v>15</v>
      </c>
      <c r="B605" t="s">
        <v>641</v>
      </c>
      <c r="C605" t="s">
        <v>649</v>
      </c>
      <c r="D605">
        <v>727770</v>
      </c>
      <c r="E605" t="s">
        <v>13</v>
      </c>
      <c r="F605">
        <v>48.55</v>
      </c>
      <c r="G605">
        <v>-109.767</v>
      </c>
      <c r="H605">
        <v>-7</v>
      </c>
      <c r="I605">
        <v>788</v>
      </c>
      <c r="J605" t="str">
        <f>HYPERLINK("https://climate.onebuilding.org/WMO_Region_4_North_and_Central_America/USA_United_States_of_America/MT_Montana/USA_MT_Havre.City-County.AP.727770_TMY3.zip")</f>
        <v>https://climate.onebuilding.org/WMO_Region_4_North_and_Central_America/USA_United_States_of_America/MT_Montana/USA_MT_Havre.City-County.AP.727770_TMY3.zip</v>
      </c>
    </row>
    <row r="606" spans="1:10" x14ac:dyDescent="0.25">
      <c r="A606" t="s">
        <v>15</v>
      </c>
      <c r="B606" t="s">
        <v>641</v>
      </c>
      <c r="C606" t="s">
        <v>650</v>
      </c>
      <c r="D606">
        <v>727720</v>
      </c>
      <c r="E606" t="s">
        <v>13</v>
      </c>
      <c r="F606">
        <v>46.6</v>
      </c>
      <c r="G606">
        <v>-111.967</v>
      </c>
      <c r="H606">
        <v>-7</v>
      </c>
      <c r="I606">
        <v>1167</v>
      </c>
      <c r="J606" t="str">
        <f>HYPERLINK("https://climate.onebuilding.org/WMO_Region_4_North_and_Central_America/USA_United_States_of_America/MT_Montana/USA_MT_Helena.Rgnl.AP.727720_TMY3.zip")</f>
        <v>https://climate.onebuilding.org/WMO_Region_4_North_and_Central_America/USA_United_States_of_America/MT_Montana/USA_MT_Helena.Rgnl.AP.727720_TMY3.zip</v>
      </c>
    </row>
    <row r="607" spans="1:10" x14ac:dyDescent="0.25">
      <c r="A607" t="s">
        <v>15</v>
      </c>
      <c r="B607" t="s">
        <v>641</v>
      </c>
      <c r="C607" t="s">
        <v>651</v>
      </c>
      <c r="D607">
        <v>727790</v>
      </c>
      <c r="E607" t="s">
        <v>13</v>
      </c>
      <c r="F607">
        <v>48.317</v>
      </c>
      <c r="G607">
        <v>-114.25</v>
      </c>
      <c r="H607">
        <v>-7</v>
      </c>
      <c r="I607">
        <v>906</v>
      </c>
      <c r="J607" t="str">
        <f>HYPERLINK("https://climate.onebuilding.org/WMO_Region_4_North_and_Central_America/USA_United_States_of_America/MT_Montana/USA_MT_Kalispell-Glacier.Park.Intl.AP.727790_TMY3.zip")</f>
        <v>https://climate.onebuilding.org/WMO_Region_4_North_and_Central_America/USA_United_States_of_America/MT_Montana/USA_MT_Kalispell-Glacier.Park.Intl.AP.727790_TMY3.zip</v>
      </c>
    </row>
    <row r="608" spans="1:10" x14ac:dyDescent="0.25">
      <c r="A608" t="s">
        <v>15</v>
      </c>
      <c r="B608" t="s">
        <v>641</v>
      </c>
      <c r="C608" t="s">
        <v>652</v>
      </c>
      <c r="D608">
        <v>726776</v>
      </c>
      <c r="E608" t="s">
        <v>13</v>
      </c>
      <c r="F608">
        <v>47.05</v>
      </c>
      <c r="G608">
        <v>-109.45</v>
      </c>
      <c r="H608">
        <v>-7</v>
      </c>
      <c r="I608">
        <v>1263</v>
      </c>
      <c r="J608" t="str">
        <f>HYPERLINK("https://climate.onebuilding.org/WMO_Region_4_North_and_Central_America/USA_United_States_of_America/MT_Montana/USA_MT_Lewistown.Muni.AP.726776_TMY3.zip")</f>
        <v>https://climate.onebuilding.org/WMO_Region_4_North_and_Central_America/USA_United_States_of_America/MT_Montana/USA_MT_Lewistown.Muni.AP.726776_TMY3.zip</v>
      </c>
    </row>
    <row r="609" spans="1:10" x14ac:dyDescent="0.25">
      <c r="A609" t="s">
        <v>15</v>
      </c>
      <c r="B609" t="s">
        <v>641</v>
      </c>
      <c r="C609" t="s">
        <v>653</v>
      </c>
      <c r="D609">
        <v>726798</v>
      </c>
      <c r="E609" t="s">
        <v>13</v>
      </c>
      <c r="F609">
        <v>45.7</v>
      </c>
      <c r="G609">
        <v>-110.45</v>
      </c>
      <c r="H609">
        <v>-7</v>
      </c>
      <c r="I609">
        <v>1418</v>
      </c>
      <c r="J609" t="str">
        <f>HYPERLINK("https://climate.onebuilding.org/WMO_Region_4_North_and_Central_America/USA_United_States_of_America/MT_Montana/USA_MT_Livingston-Mission.Field.AP.726798_TMY3.zip")</f>
        <v>https://climate.onebuilding.org/WMO_Region_4_North_and_Central_America/USA_United_States_of_America/MT_Montana/USA_MT_Livingston-Mission.Field.AP.726798_TMY3.zip</v>
      </c>
    </row>
    <row r="610" spans="1:10" x14ac:dyDescent="0.25">
      <c r="A610" t="s">
        <v>15</v>
      </c>
      <c r="B610" t="s">
        <v>641</v>
      </c>
      <c r="C610" t="s">
        <v>654</v>
      </c>
      <c r="D610">
        <v>742300</v>
      </c>
      <c r="E610" t="s">
        <v>13</v>
      </c>
      <c r="F610">
        <v>46.433</v>
      </c>
      <c r="G610">
        <v>-105.883</v>
      </c>
      <c r="H610">
        <v>-7</v>
      </c>
      <c r="I610">
        <v>801</v>
      </c>
      <c r="J610" t="str">
        <f>HYPERLINK("https://climate.onebuilding.org/WMO_Region_4_North_and_Central_America/USA_United_States_of_America/MT_Montana/USA_MT_Miles.City.AP-Wiley.Field.742300_TMY3.zip")</f>
        <v>https://climate.onebuilding.org/WMO_Region_4_North_and_Central_America/USA_United_States_of_America/MT_Montana/USA_MT_Miles.City.AP-Wiley.Field.742300_TMY3.zip</v>
      </c>
    </row>
    <row r="611" spans="1:10" x14ac:dyDescent="0.25">
      <c r="A611" t="s">
        <v>15</v>
      </c>
      <c r="B611" t="s">
        <v>641</v>
      </c>
      <c r="C611" t="s">
        <v>655</v>
      </c>
      <c r="D611">
        <v>727730</v>
      </c>
      <c r="E611" t="s">
        <v>13</v>
      </c>
      <c r="F611">
        <v>46.917000000000002</v>
      </c>
      <c r="G611">
        <v>-114.1</v>
      </c>
      <c r="H611">
        <v>-7</v>
      </c>
      <c r="I611">
        <v>973</v>
      </c>
      <c r="J611" t="str">
        <f>HYPERLINK("https://climate.onebuilding.org/WMO_Region_4_North_and_Central_America/USA_United_States_of_America/MT_Montana/USA_MT_Missoula.Intl.AP.727730_TMY3.zip")</f>
        <v>https://climate.onebuilding.org/WMO_Region_4_North_and_Central_America/USA_United_States_of_America/MT_Montana/USA_MT_Missoula.Intl.AP.727730_TMY3.zip</v>
      </c>
    </row>
    <row r="612" spans="1:10" x14ac:dyDescent="0.25">
      <c r="A612" t="s">
        <v>15</v>
      </c>
      <c r="B612" t="s">
        <v>641</v>
      </c>
      <c r="C612" t="s">
        <v>656</v>
      </c>
      <c r="D612">
        <v>727687</v>
      </c>
      <c r="E612" t="s">
        <v>13</v>
      </c>
      <c r="F612">
        <v>47.7</v>
      </c>
      <c r="G612">
        <v>-104.2</v>
      </c>
      <c r="H612">
        <v>-7</v>
      </c>
      <c r="I612">
        <v>605</v>
      </c>
      <c r="J612" t="str">
        <f>HYPERLINK("https://climate.onebuilding.org/WMO_Region_4_North_and_Central_America/USA_United_States_of_America/MT_Montana/USA_MT_Sidney-Richland.Rgnl.AP.727687_TMY3.zip")</f>
        <v>https://climate.onebuilding.org/WMO_Region_4_North_and_Central_America/USA_United_States_of_America/MT_Montana/USA_MT_Sidney-Richland.Rgnl.AP.727687_TMY3.zip</v>
      </c>
    </row>
    <row r="613" spans="1:10" x14ac:dyDescent="0.25">
      <c r="A613" t="s">
        <v>15</v>
      </c>
      <c r="B613" t="s">
        <v>641</v>
      </c>
      <c r="C613" t="s">
        <v>657</v>
      </c>
      <c r="D613">
        <v>727686</v>
      </c>
      <c r="E613" t="s">
        <v>13</v>
      </c>
      <c r="F613">
        <v>48.308</v>
      </c>
      <c r="G613">
        <v>-105.102</v>
      </c>
      <c r="H613">
        <v>-7</v>
      </c>
      <c r="I613">
        <v>634</v>
      </c>
      <c r="J613" t="str">
        <f>HYPERLINK("https://climate.onebuilding.org/WMO_Region_4_North_and_Central_America/USA_United_States_of_America/MT_Montana/USA_MT_Wolf.Point.Intl.AP-Fort.Peck.SURFRAD.727686_TMY3.zip")</f>
        <v>https://climate.onebuilding.org/WMO_Region_4_North_and_Central_America/USA_United_States_of_America/MT_Montana/USA_MT_Wolf.Point.Intl.AP-Fort.Peck.SURFRAD.727686_TMY3.zip</v>
      </c>
    </row>
    <row r="614" spans="1:10" x14ac:dyDescent="0.25">
      <c r="A614" t="s">
        <v>15</v>
      </c>
      <c r="B614" t="s">
        <v>658</v>
      </c>
      <c r="C614" t="s">
        <v>659</v>
      </c>
      <c r="D614">
        <v>723150</v>
      </c>
      <c r="E614" t="s">
        <v>13</v>
      </c>
      <c r="F614">
        <v>35.433</v>
      </c>
      <c r="G614">
        <v>-82.533000000000001</v>
      </c>
      <c r="H614">
        <v>-5</v>
      </c>
      <c r="I614">
        <v>652</v>
      </c>
      <c r="J614" t="str">
        <f>HYPERLINK("https://climate.onebuilding.org/WMO_Region_4_North_and_Central_America/USA_United_States_of_America/NC_North_Carolina/USA_NC_Asheville.Rgnl.AP.723150_TMY3.zip")</f>
        <v>https://climate.onebuilding.org/WMO_Region_4_North_and_Central_America/USA_United_States_of_America/NC_North_Carolina/USA_NC_Asheville.Rgnl.AP.723150_TMY3.zip</v>
      </c>
    </row>
    <row r="615" spans="1:10" x14ac:dyDescent="0.25">
      <c r="A615" t="s">
        <v>15</v>
      </c>
      <c r="B615" t="s">
        <v>658</v>
      </c>
      <c r="C615" t="s">
        <v>660</v>
      </c>
      <c r="D615">
        <v>723040</v>
      </c>
      <c r="E615" t="s">
        <v>13</v>
      </c>
      <c r="F615">
        <v>35.234999999999999</v>
      </c>
      <c r="G615">
        <v>-75.616</v>
      </c>
      <c r="H615">
        <v>-5</v>
      </c>
      <c r="I615">
        <v>3</v>
      </c>
      <c r="J615" t="str">
        <f>HYPERLINK("https://climate.onebuilding.org/WMO_Region_4_North_and_Central_America/USA_United_States_of_America/NC_North_Carolina/USA_NC_Cape.Hatteras.Natl.Seashore-Mitchell.AP.723040_TMY3.zip")</f>
        <v>https://climate.onebuilding.org/WMO_Region_4_North_and_Central_America/USA_United_States_of_America/NC_North_Carolina/USA_NC_Cape.Hatteras.Natl.Seashore-Mitchell.AP.723040_TMY3.zip</v>
      </c>
    </row>
    <row r="616" spans="1:10" x14ac:dyDescent="0.25">
      <c r="A616" t="s">
        <v>15</v>
      </c>
      <c r="B616" t="s">
        <v>658</v>
      </c>
      <c r="C616" t="s">
        <v>661</v>
      </c>
      <c r="D616">
        <v>723140</v>
      </c>
      <c r="E616" t="s">
        <v>13</v>
      </c>
      <c r="F616">
        <v>35.216999999999999</v>
      </c>
      <c r="G616">
        <v>-80.95</v>
      </c>
      <c r="H616">
        <v>-5</v>
      </c>
      <c r="I616">
        <v>222</v>
      </c>
      <c r="J616" t="str">
        <f>HYPERLINK("https://climate.onebuilding.org/WMO_Region_4_North_and_Central_America/USA_United_States_of_America/NC_North_Carolina/USA_NC_Charlotte.Douglas.Intl.AP.723140_TMY3.zip")</f>
        <v>https://climate.onebuilding.org/WMO_Region_4_North_and_Central_America/USA_United_States_of_America/NC_North_Carolina/USA_NC_Charlotte.Douglas.Intl.AP.723140_TMY3.zip</v>
      </c>
    </row>
    <row r="617" spans="1:10" x14ac:dyDescent="0.25">
      <c r="A617" t="s">
        <v>15</v>
      </c>
      <c r="B617" t="s">
        <v>658</v>
      </c>
      <c r="C617" t="s">
        <v>662</v>
      </c>
      <c r="D617">
        <v>723090</v>
      </c>
      <c r="E617" t="s">
        <v>13</v>
      </c>
      <c r="F617">
        <v>34.9</v>
      </c>
      <c r="G617">
        <v>-76.882999999999996</v>
      </c>
      <c r="H617">
        <v>-5</v>
      </c>
      <c r="I617">
        <v>11</v>
      </c>
      <c r="J617" t="str">
        <f>HYPERLINK("https://climate.onebuilding.org/WMO_Region_4_North_and_Central_America/USA_United_States_of_America/NC_North_Carolina/USA_NC_Havelock-MCAS.Cherry.Point.723090_TMY3.zip")</f>
        <v>https://climate.onebuilding.org/WMO_Region_4_North_and_Central_America/USA_United_States_of_America/NC_North_Carolina/USA_NC_Havelock-MCAS.Cherry.Point.723090_TMY3.zip</v>
      </c>
    </row>
    <row r="618" spans="1:10" x14ac:dyDescent="0.25">
      <c r="A618" t="s">
        <v>15</v>
      </c>
      <c r="B618" t="s">
        <v>658</v>
      </c>
      <c r="C618" t="s">
        <v>663</v>
      </c>
      <c r="D618">
        <v>723070</v>
      </c>
      <c r="E618" t="s">
        <v>13</v>
      </c>
      <c r="F618">
        <v>36.26</v>
      </c>
      <c r="G618">
        <v>-76.179000000000002</v>
      </c>
      <c r="H618">
        <v>-5</v>
      </c>
      <c r="I618">
        <v>4</v>
      </c>
      <c r="J618" t="str">
        <f>HYPERLINK("https://climate.onebuilding.org/WMO_Region_4_North_and_Central_America/USA_United_States_of_America/NC_North_Carolina/USA_NC_Elizabeth.City.Rgnl.AP-CGAS.Elizabeth.City.723070_TMY3.zip")</f>
        <v>https://climate.onebuilding.org/WMO_Region_4_North_and_Central_America/USA_United_States_of_America/NC_North_Carolina/USA_NC_Elizabeth.City.Rgnl.AP-CGAS.Elizabeth.City.723070_TMY3.zip</v>
      </c>
    </row>
    <row r="619" spans="1:10" x14ac:dyDescent="0.25">
      <c r="A619" t="s">
        <v>15</v>
      </c>
      <c r="B619" t="s">
        <v>658</v>
      </c>
      <c r="C619" t="s">
        <v>664</v>
      </c>
      <c r="D619">
        <v>723030</v>
      </c>
      <c r="E619" t="s">
        <v>13</v>
      </c>
      <c r="F619">
        <v>35.167000000000002</v>
      </c>
      <c r="G619">
        <v>-79.016999999999996</v>
      </c>
      <c r="H619">
        <v>-5</v>
      </c>
      <c r="I619">
        <v>66</v>
      </c>
      <c r="J619" t="str">
        <f>HYPERLINK("https://climate.onebuilding.org/WMO_Region_4_North_and_Central_America/USA_United_States_of_America/NC_North_Carolina/USA_NC_Fayetteville-Fort.Bragg-Pope.Field.723030_TMY3.zip")</f>
        <v>https://climate.onebuilding.org/WMO_Region_4_North_and_Central_America/USA_United_States_of_America/NC_North_Carolina/USA_NC_Fayetteville-Fort.Bragg-Pope.Field.723030_TMY3.zip</v>
      </c>
    </row>
    <row r="620" spans="1:10" x14ac:dyDescent="0.25">
      <c r="A620" t="s">
        <v>15</v>
      </c>
      <c r="B620" t="s">
        <v>658</v>
      </c>
      <c r="C620" t="s">
        <v>665</v>
      </c>
      <c r="D620">
        <v>723035</v>
      </c>
      <c r="E620" t="s">
        <v>13</v>
      </c>
      <c r="F620">
        <v>34.982999999999997</v>
      </c>
      <c r="G620">
        <v>-78.882999999999996</v>
      </c>
      <c r="H620">
        <v>-5</v>
      </c>
      <c r="I620">
        <v>59</v>
      </c>
      <c r="J620" t="str">
        <f>HYPERLINK("https://climate.onebuilding.org/WMO_Region_4_North_and_Central_America/USA_United_States_of_America/NC_North_Carolina/USA_NC_Fayetteville.Rgnl.AP-Grannis.Field.723035_TMY3.zip")</f>
        <v>https://climate.onebuilding.org/WMO_Region_4_North_and_Central_America/USA_United_States_of_America/NC_North_Carolina/USA_NC_Fayetteville.Rgnl.AP-Grannis.Field.723035_TMY3.zip</v>
      </c>
    </row>
    <row r="621" spans="1:10" x14ac:dyDescent="0.25">
      <c r="A621" t="s">
        <v>15</v>
      </c>
      <c r="B621" t="s">
        <v>658</v>
      </c>
      <c r="C621" t="s">
        <v>666</v>
      </c>
      <c r="D621">
        <v>746930</v>
      </c>
      <c r="E621" t="s">
        <v>13</v>
      </c>
      <c r="F621">
        <v>35.133000000000003</v>
      </c>
      <c r="G621">
        <v>-78.933000000000007</v>
      </c>
      <c r="H621">
        <v>-5</v>
      </c>
      <c r="I621">
        <v>93</v>
      </c>
      <c r="J621" t="str">
        <f>HYPERLINK("https://climate.onebuilding.org/WMO_Region_4_North_and_Central_America/USA_United_States_of_America/NC_North_Carolina/USA_NC_Fayetteville-Fort.Bragg-Simmons.AAF.746930_TMY3.zip")</f>
        <v>https://climate.onebuilding.org/WMO_Region_4_North_and_Central_America/USA_United_States_of_America/NC_North_Carolina/USA_NC_Fayetteville-Fort.Bragg-Simmons.AAF.746930_TMY3.zip</v>
      </c>
    </row>
    <row r="622" spans="1:10" x14ac:dyDescent="0.25">
      <c r="A622" t="s">
        <v>15</v>
      </c>
      <c r="B622" t="s">
        <v>658</v>
      </c>
      <c r="C622" t="s">
        <v>667</v>
      </c>
      <c r="D622">
        <v>723066</v>
      </c>
      <c r="E622" t="s">
        <v>13</v>
      </c>
      <c r="F622">
        <v>35.35</v>
      </c>
      <c r="G622">
        <v>-77.966999999999999</v>
      </c>
      <c r="H622">
        <v>-5</v>
      </c>
      <c r="I622">
        <v>33</v>
      </c>
      <c r="J622" t="str">
        <f>HYPERLINK("https://climate.onebuilding.org/WMO_Region_4_North_and_Central_America/USA_United_States_of_America/NC_North_Carolina/USA_NC_Goldsboro-Seymour.Johnson.AFB.723066_TMY3.zip")</f>
        <v>https://climate.onebuilding.org/WMO_Region_4_North_and_Central_America/USA_United_States_of_America/NC_North_Carolina/USA_NC_Goldsboro-Seymour.Johnson.AFB.723066_TMY3.zip</v>
      </c>
    </row>
    <row r="623" spans="1:10" x14ac:dyDescent="0.25">
      <c r="A623" t="s">
        <v>15</v>
      </c>
      <c r="B623" t="s">
        <v>658</v>
      </c>
      <c r="C623" t="s">
        <v>668</v>
      </c>
      <c r="D623">
        <v>723170</v>
      </c>
      <c r="E623" t="s">
        <v>13</v>
      </c>
      <c r="F623">
        <v>36.1</v>
      </c>
      <c r="G623">
        <v>-79.95</v>
      </c>
      <c r="H623">
        <v>-5</v>
      </c>
      <c r="I623">
        <v>273</v>
      </c>
      <c r="J623" t="str">
        <f>HYPERLINK("https://climate.onebuilding.org/WMO_Region_4_North_and_Central_America/USA_United_States_of_America/NC_North_Carolina/USA_NC_Greensboro-Piedmont.Triad.Intl.AP.723170_TMY3.zip")</f>
        <v>https://climate.onebuilding.org/WMO_Region_4_North_and_Central_America/USA_United_States_of_America/NC_North_Carolina/USA_NC_Greensboro-Piedmont.Triad.Intl.AP.723170_TMY3.zip</v>
      </c>
    </row>
    <row r="624" spans="1:10" x14ac:dyDescent="0.25">
      <c r="A624" t="s">
        <v>15</v>
      </c>
      <c r="B624" t="s">
        <v>658</v>
      </c>
      <c r="C624" t="s">
        <v>669</v>
      </c>
      <c r="D624">
        <v>723010</v>
      </c>
      <c r="E624" t="s">
        <v>13</v>
      </c>
      <c r="F624">
        <v>35.732999999999997</v>
      </c>
      <c r="G624">
        <v>-81.382999999999996</v>
      </c>
      <c r="H624">
        <v>-5</v>
      </c>
      <c r="I624">
        <v>348</v>
      </c>
      <c r="J624" t="str">
        <f>HYPERLINK("https://climate.onebuilding.org/WMO_Region_4_North_and_Central_America/USA_United_States_of_America/NC_North_Carolina/USA_NC_Hickory.Rgnl.AP.723010_TMY3.zip")</f>
        <v>https://climate.onebuilding.org/WMO_Region_4_North_and_Central_America/USA_United_States_of_America/NC_North_Carolina/USA_NC_Hickory.Rgnl.AP.723010_TMY3.zip</v>
      </c>
    </row>
    <row r="625" spans="1:10" x14ac:dyDescent="0.25">
      <c r="A625" t="s">
        <v>15</v>
      </c>
      <c r="B625" t="s">
        <v>658</v>
      </c>
      <c r="C625" t="s">
        <v>670</v>
      </c>
      <c r="D625">
        <v>723069</v>
      </c>
      <c r="E625" t="s">
        <v>13</v>
      </c>
      <c r="F625">
        <v>34.832999999999998</v>
      </c>
      <c r="G625">
        <v>-77.617000000000004</v>
      </c>
      <c r="H625">
        <v>-5</v>
      </c>
      <c r="I625">
        <v>29</v>
      </c>
      <c r="J625" t="str">
        <f>HYPERLINK("https://climate.onebuilding.org/WMO_Region_4_North_and_Central_America/USA_United_States_of_America/NC_North_Carolina/USA_NC_Jacksonville-Ellis.AP.723069_TMY3.zip")</f>
        <v>https://climate.onebuilding.org/WMO_Region_4_North_and_Central_America/USA_United_States_of_America/NC_North_Carolina/USA_NC_Jacksonville-Ellis.AP.723069_TMY3.zip</v>
      </c>
    </row>
    <row r="626" spans="1:10" x14ac:dyDescent="0.25">
      <c r="A626" t="s">
        <v>15</v>
      </c>
      <c r="B626" t="s">
        <v>658</v>
      </c>
      <c r="C626" t="s">
        <v>671</v>
      </c>
      <c r="D626">
        <v>723067</v>
      </c>
      <c r="E626" t="s">
        <v>13</v>
      </c>
      <c r="F626">
        <v>35.317</v>
      </c>
      <c r="G626">
        <v>-77.632999999999996</v>
      </c>
      <c r="H626">
        <v>-5</v>
      </c>
      <c r="I626">
        <v>29</v>
      </c>
      <c r="J626" t="str">
        <f>HYPERLINK("https://climate.onebuilding.org/WMO_Region_4_North_and_Central_America/USA_United_States_of_America/NC_North_Carolina/USA_NC_Kinston.Rgnl.Jetport-Stallings.Field.723067_TMY3.zip")</f>
        <v>https://climate.onebuilding.org/WMO_Region_4_North_and_Central_America/USA_United_States_of_America/NC_North_Carolina/USA_NC_Kinston.Rgnl.Jetport-Stallings.Field.723067_TMY3.zip</v>
      </c>
    </row>
    <row r="627" spans="1:10" x14ac:dyDescent="0.25">
      <c r="A627" t="s">
        <v>15</v>
      </c>
      <c r="B627" t="s">
        <v>658</v>
      </c>
      <c r="C627" t="s">
        <v>672</v>
      </c>
      <c r="D627">
        <v>723046</v>
      </c>
      <c r="E627" t="s">
        <v>13</v>
      </c>
      <c r="F627">
        <v>35.917000000000002</v>
      </c>
      <c r="G627">
        <v>-75.7</v>
      </c>
      <c r="H627">
        <v>-5</v>
      </c>
      <c r="I627">
        <v>4</v>
      </c>
      <c r="J627" t="str">
        <f>HYPERLINK("https://climate.onebuilding.org/WMO_Region_4_North_and_Central_America/USA_United_States_of_America/NC_North_Carolina/USA_NC_Manteo-Dare.County.Rgnl.AP.723046_TMY3.zip")</f>
        <v>https://climate.onebuilding.org/WMO_Region_4_North_and_Central_America/USA_United_States_of_America/NC_North_Carolina/USA_NC_Manteo-Dare.County.Rgnl.AP.723046_TMY3.zip</v>
      </c>
    </row>
    <row r="628" spans="1:10" x14ac:dyDescent="0.25">
      <c r="A628" t="s">
        <v>15</v>
      </c>
      <c r="B628" t="s">
        <v>658</v>
      </c>
      <c r="C628" t="s">
        <v>673</v>
      </c>
      <c r="D628">
        <v>723095</v>
      </c>
      <c r="E628" t="s">
        <v>13</v>
      </c>
      <c r="F628">
        <v>35.067</v>
      </c>
      <c r="G628">
        <v>-77.05</v>
      </c>
      <c r="H628">
        <v>-5</v>
      </c>
      <c r="I628">
        <v>5</v>
      </c>
      <c r="J628" t="str">
        <f>HYPERLINK("https://climate.onebuilding.org/WMO_Region_4_North_and_Central_America/USA_United_States_of_America/NC_North_Carolina/USA_NC_New.Bern-Coastal.Carolina.Rgnl.AP.723095_TMY3.zip")</f>
        <v>https://climate.onebuilding.org/WMO_Region_4_North_and_Central_America/USA_United_States_of_America/NC_North_Carolina/USA_NC_New.Bern-Coastal.Carolina.Rgnl.AP.723095_TMY3.zip</v>
      </c>
    </row>
    <row r="629" spans="1:10" x14ac:dyDescent="0.25">
      <c r="A629" t="s">
        <v>15</v>
      </c>
      <c r="B629" t="s">
        <v>658</v>
      </c>
      <c r="C629" t="s">
        <v>674</v>
      </c>
      <c r="D629">
        <v>723096</v>
      </c>
      <c r="E629" t="s">
        <v>13</v>
      </c>
      <c r="F629">
        <v>34.700000000000003</v>
      </c>
      <c r="G629">
        <v>-77.44</v>
      </c>
      <c r="H629">
        <v>-5</v>
      </c>
      <c r="I629">
        <v>5</v>
      </c>
      <c r="J629" t="str">
        <f>HYPERLINK("https://climate.onebuilding.org/WMO_Region_4_North_and_Central_America/USA_United_States_of_America/NC_North_Carolina/USA_NC_Jacksonville-MCAS.New.River-McCutcheon.Field.723096_TMY3.zip")</f>
        <v>https://climate.onebuilding.org/WMO_Region_4_North_and_Central_America/USA_United_States_of_America/NC_North_Carolina/USA_NC_Jacksonville-MCAS.New.River-McCutcheon.Field.723096_TMY3.zip</v>
      </c>
    </row>
    <row r="630" spans="1:10" x14ac:dyDescent="0.25">
      <c r="A630" t="s">
        <v>15</v>
      </c>
      <c r="B630" t="s">
        <v>658</v>
      </c>
      <c r="C630" t="s">
        <v>675</v>
      </c>
      <c r="D630">
        <v>723065</v>
      </c>
      <c r="E630" t="s">
        <v>13</v>
      </c>
      <c r="F630">
        <v>35.633000000000003</v>
      </c>
      <c r="G630">
        <v>-77.400000000000006</v>
      </c>
      <c r="H630">
        <v>-5</v>
      </c>
      <c r="I630">
        <v>8</v>
      </c>
      <c r="J630" t="str">
        <f>HYPERLINK("https://climate.onebuilding.org/WMO_Region_4_North_and_Central_America/USA_United_States_of_America/NC_North_Carolina/USA_NC_Pitt-Greenville.AP.723065_TMY3.zip")</f>
        <v>https://climate.onebuilding.org/WMO_Region_4_North_and_Central_America/USA_United_States_of_America/NC_North_Carolina/USA_NC_Pitt-Greenville.AP.723065_TMY3.zip</v>
      </c>
    </row>
    <row r="631" spans="1:10" x14ac:dyDescent="0.25">
      <c r="A631" t="s">
        <v>15</v>
      </c>
      <c r="B631" t="s">
        <v>658</v>
      </c>
      <c r="C631" t="s">
        <v>676</v>
      </c>
      <c r="D631">
        <v>723060</v>
      </c>
      <c r="E631" t="s">
        <v>13</v>
      </c>
      <c r="F631">
        <v>35.866999999999997</v>
      </c>
      <c r="G631">
        <v>-78.783000000000001</v>
      </c>
      <c r="H631">
        <v>-5</v>
      </c>
      <c r="I631">
        <v>127</v>
      </c>
      <c r="J631" t="str">
        <f>HYPERLINK("https://climate.onebuilding.org/WMO_Region_4_North_and_Central_America/USA_United_States_of_America/NC_North_Carolina/USA_NC_Raleigh-Durham.Intl.AP.723060_TMY3.zip")</f>
        <v>https://climate.onebuilding.org/WMO_Region_4_North_and_Central_America/USA_United_States_of_America/NC_North_Carolina/USA_NC_Raleigh-Durham.Intl.AP.723060_TMY3.zip</v>
      </c>
    </row>
    <row r="632" spans="1:10" x14ac:dyDescent="0.25">
      <c r="A632" t="s">
        <v>15</v>
      </c>
      <c r="B632" t="s">
        <v>658</v>
      </c>
      <c r="C632" t="s">
        <v>677</v>
      </c>
      <c r="D632">
        <v>723068</v>
      </c>
      <c r="E632" t="s">
        <v>13</v>
      </c>
      <c r="F632">
        <v>35.85</v>
      </c>
      <c r="G632">
        <v>-77.900000000000006</v>
      </c>
      <c r="H632">
        <v>-5</v>
      </c>
      <c r="I632">
        <v>50</v>
      </c>
      <c r="J632" t="str">
        <f>HYPERLINK("https://climate.onebuilding.org/WMO_Region_4_North_and_Central_America/USA_United_States_of_America/NC_North_Carolina/USA_NC_Rocky.Mount-Wilson.Rgnl.AP.723068_TMY3.zip")</f>
        <v>https://climate.onebuilding.org/WMO_Region_4_North_and_Central_America/USA_United_States_of_America/NC_North_Carolina/USA_NC_Rocky.Mount-Wilson.Rgnl.AP.723068_TMY3.zip</v>
      </c>
    </row>
    <row r="633" spans="1:10" x14ac:dyDescent="0.25">
      <c r="A633" t="s">
        <v>15</v>
      </c>
      <c r="B633" t="s">
        <v>658</v>
      </c>
      <c r="C633" t="s">
        <v>678</v>
      </c>
      <c r="D633">
        <v>723143</v>
      </c>
      <c r="E633" t="s">
        <v>13</v>
      </c>
      <c r="F633">
        <v>35.232999999999997</v>
      </c>
      <c r="G633">
        <v>-79.400000000000006</v>
      </c>
      <c r="H633">
        <v>-5</v>
      </c>
      <c r="I633">
        <v>141</v>
      </c>
      <c r="J633" t="str">
        <f>HYPERLINK("https://climate.onebuilding.org/WMO_Region_4_North_and_Central_America/USA_United_States_of_America/NC_North_Carolina/USA_NC_Southern.Pines-Moore.County.AP.723143_TMY3.zip")</f>
        <v>https://climate.onebuilding.org/WMO_Region_4_North_and_Central_America/USA_United_States_of_America/NC_North_Carolina/USA_NC_Southern.Pines-Moore.County.AP.723143_TMY3.zip</v>
      </c>
    </row>
    <row r="634" spans="1:10" x14ac:dyDescent="0.25">
      <c r="A634" t="s">
        <v>15</v>
      </c>
      <c r="B634" t="s">
        <v>658</v>
      </c>
      <c r="C634" t="s">
        <v>679</v>
      </c>
      <c r="D634">
        <v>723013</v>
      </c>
      <c r="E634" t="s">
        <v>13</v>
      </c>
      <c r="F634">
        <v>34.267000000000003</v>
      </c>
      <c r="G634">
        <v>-77.900000000000006</v>
      </c>
      <c r="H634">
        <v>-5</v>
      </c>
      <c r="I634">
        <v>9</v>
      </c>
      <c r="J634" t="str">
        <f>HYPERLINK("https://climate.onebuilding.org/WMO_Region_4_North_and_Central_America/USA_United_States_of_America/NC_North_Carolina/USA_NC_Wilmington.Intl.AP.723013_TMY3.zip")</f>
        <v>https://climate.onebuilding.org/WMO_Region_4_North_and_Central_America/USA_United_States_of_America/NC_North_Carolina/USA_NC_Wilmington.Intl.AP.723013_TMY3.zip</v>
      </c>
    </row>
    <row r="635" spans="1:10" x14ac:dyDescent="0.25">
      <c r="A635" t="s">
        <v>15</v>
      </c>
      <c r="B635" t="s">
        <v>658</v>
      </c>
      <c r="C635" t="s">
        <v>680</v>
      </c>
      <c r="D635">
        <v>723193</v>
      </c>
      <c r="E635" t="s">
        <v>13</v>
      </c>
      <c r="F635">
        <v>36.133000000000003</v>
      </c>
      <c r="G635">
        <v>-80.216999999999999</v>
      </c>
      <c r="H635">
        <v>-5</v>
      </c>
      <c r="I635">
        <v>296</v>
      </c>
      <c r="J635" t="str">
        <f>HYPERLINK("https://climate.onebuilding.org/WMO_Region_4_North_and_Central_America/USA_United_States_of_America/NC_North_Carolina/USA_NC_Winston-Salem-Reynolds.AP.723193_TMY3.zip")</f>
        <v>https://climate.onebuilding.org/WMO_Region_4_North_and_Central_America/USA_United_States_of_America/NC_North_Carolina/USA_NC_Winston-Salem-Reynolds.AP.723193_TMY3.zip</v>
      </c>
    </row>
    <row r="636" spans="1:10" x14ac:dyDescent="0.25">
      <c r="A636" t="s">
        <v>15</v>
      </c>
      <c r="B636" t="s">
        <v>681</v>
      </c>
      <c r="C636" t="s">
        <v>682</v>
      </c>
      <c r="D636">
        <v>727640</v>
      </c>
      <c r="E636" t="s">
        <v>13</v>
      </c>
      <c r="F636">
        <v>46.77</v>
      </c>
      <c r="G636">
        <v>-100.77</v>
      </c>
      <c r="H636">
        <v>-6</v>
      </c>
      <c r="I636">
        <v>502</v>
      </c>
      <c r="J636" t="str">
        <f>HYPERLINK("https://climate.onebuilding.org/WMO_Region_4_North_and_Central_America/USA_United_States_of_America/ND_North_Dakota/USA_ND_Bismarck.Muni.AP.727640_TMY3.zip")</f>
        <v>https://climate.onebuilding.org/WMO_Region_4_North_and_Central_America/USA_United_States_of_America/ND_North_Dakota/USA_ND_Bismarck.Muni.AP.727640_TMY3.zip</v>
      </c>
    </row>
    <row r="637" spans="1:10" x14ac:dyDescent="0.25">
      <c r="A637" t="s">
        <v>15</v>
      </c>
      <c r="B637" t="s">
        <v>681</v>
      </c>
      <c r="C637" t="s">
        <v>683</v>
      </c>
      <c r="D637">
        <v>727573</v>
      </c>
      <c r="E637" t="s">
        <v>13</v>
      </c>
      <c r="F637">
        <v>48.116999999999997</v>
      </c>
      <c r="G637">
        <v>-98.917000000000002</v>
      </c>
      <c r="H637">
        <v>-6</v>
      </c>
      <c r="I637">
        <v>443</v>
      </c>
      <c r="J637" t="str">
        <f>HYPERLINK("https://climate.onebuilding.org/WMO_Region_4_North_and_Central_America/USA_United_States_of_America/ND_North_Dakota/USA_ND_Devils.Lake.Rgnl.AP.727573_TMY3.zip")</f>
        <v>https://climate.onebuilding.org/WMO_Region_4_North_and_Central_America/USA_United_States_of_America/ND_North_Dakota/USA_ND_Devils.Lake.Rgnl.AP.727573_TMY3.zip</v>
      </c>
    </row>
    <row r="638" spans="1:10" x14ac:dyDescent="0.25">
      <c r="A638" t="s">
        <v>15</v>
      </c>
      <c r="B638" t="s">
        <v>681</v>
      </c>
      <c r="C638" t="s">
        <v>684</v>
      </c>
      <c r="D638">
        <v>727630</v>
      </c>
      <c r="E638" t="s">
        <v>13</v>
      </c>
      <c r="F638">
        <v>46.8</v>
      </c>
      <c r="G638">
        <v>-102.8</v>
      </c>
      <c r="H638">
        <v>-7</v>
      </c>
      <c r="I638">
        <v>788</v>
      </c>
      <c r="J638" t="str">
        <f>HYPERLINK("https://climate.onebuilding.org/WMO_Region_4_North_and_Central_America/USA_United_States_of_America/ND_North_Dakota/USA_ND_Dickinson.Roosevelt.Rgnl.AP.727630_TMY3.zip")</f>
        <v>https://climate.onebuilding.org/WMO_Region_4_North_and_Central_America/USA_United_States_of_America/ND_North_Dakota/USA_ND_Dickinson.Roosevelt.Rgnl.AP.727630_TMY3.zip</v>
      </c>
    </row>
    <row r="639" spans="1:10" x14ac:dyDescent="0.25">
      <c r="A639" t="s">
        <v>15</v>
      </c>
      <c r="B639" t="s">
        <v>681</v>
      </c>
      <c r="C639" t="s">
        <v>685</v>
      </c>
      <c r="D639">
        <v>727530</v>
      </c>
      <c r="E639" t="s">
        <v>13</v>
      </c>
      <c r="F639">
        <v>46.933</v>
      </c>
      <c r="G639">
        <v>-96.816999999999993</v>
      </c>
      <c r="H639">
        <v>-6</v>
      </c>
      <c r="I639">
        <v>274</v>
      </c>
      <c r="J639" t="str">
        <f>HYPERLINK("https://climate.onebuilding.org/WMO_Region_4_North_and_Central_America/USA_United_States_of_America/ND_North_Dakota/USA_ND_Fargo-Hector.Intl.AP.727530_TMY3.zip")</f>
        <v>https://climate.onebuilding.org/WMO_Region_4_North_and_Central_America/USA_United_States_of_America/ND_North_Dakota/USA_ND_Fargo-Hector.Intl.AP.727530_TMY3.zip</v>
      </c>
    </row>
    <row r="640" spans="1:10" x14ac:dyDescent="0.25">
      <c r="A640" t="s">
        <v>15</v>
      </c>
      <c r="B640" t="s">
        <v>681</v>
      </c>
      <c r="C640" t="s">
        <v>686</v>
      </c>
      <c r="D640">
        <v>727575</v>
      </c>
      <c r="E640" t="s">
        <v>13</v>
      </c>
      <c r="F640">
        <v>47.966999999999999</v>
      </c>
      <c r="G640">
        <v>-97.4</v>
      </c>
      <c r="H640">
        <v>-6</v>
      </c>
      <c r="I640">
        <v>276</v>
      </c>
      <c r="J640" t="str">
        <f>HYPERLINK("https://climate.onebuilding.org/WMO_Region_4_North_and_Central_America/USA_United_States_of_America/ND_North_Dakota/USA_ND_Grand.Forks.AFB.727575_TMY3.zip")</f>
        <v>https://climate.onebuilding.org/WMO_Region_4_North_and_Central_America/USA_United_States_of_America/ND_North_Dakota/USA_ND_Grand.Forks.AFB.727575_TMY3.zip</v>
      </c>
    </row>
    <row r="641" spans="1:10" x14ac:dyDescent="0.25">
      <c r="A641" t="s">
        <v>15</v>
      </c>
      <c r="B641" t="s">
        <v>681</v>
      </c>
      <c r="C641" t="s">
        <v>687</v>
      </c>
      <c r="D641">
        <v>727570</v>
      </c>
      <c r="E641" t="s">
        <v>13</v>
      </c>
      <c r="F641">
        <v>47.95</v>
      </c>
      <c r="G641">
        <v>-97.183000000000007</v>
      </c>
      <c r="H641">
        <v>-6</v>
      </c>
      <c r="I641">
        <v>256</v>
      </c>
      <c r="J641" t="str">
        <f>HYPERLINK("https://climate.onebuilding.org/WMO_Region_4_North_and_Central_America/USA_United_States_of_America/ND_North_Dakota/USA_ND_Grand.Forks.Intl.AP.727570_TMY3.zip")</f>
        <v>https://climate.onebuilding.org/WMO_Region_4_North_and_Central_America/USA_United_States_of_America/ND_North_Dakota/USA_ND_Grand.Forks.Intl.AP.727570_TMY3.zip</v>
      </c>
    </row>
    <row r="642" spans="1:10" x14ac:dyDescent="0.25">
      <c r="A642" t="s">
        <v>15</v>
      </c>
      <c r="B642" t="s">
        <v>681</v>
      </c>
      <c r="C642" t="s">
        <v>688</v>
      </c>
      <c r="D642">
        <v>727535</v>
      </c>
      <c r="E642" t="s">
        <v>13</v>
      </c>
      <c r="F642">
        <v>46.917000000000002</v>
      </c>
      <c r="G642">
        <v>-98.683000000000007</v>
      </c>
      <c r="H642">
        <v>-6</v>
      </c>
      <c r="I642">
        <v>455</v>
      </c>
      <c r="J642" t="str">
        <f>HYPERLINK("https://climate.onebuilding.org/WMO_Region_4_North_and_Central_America/USA_United_States_of_America/ND_North_Dakota/USA_ND_Jamestown.Rgnl.AP.727535_TMY3.zip")</f>
        <v>https://climate.onebuilding.org/WMO_Region_4_North_and_Central_America/USA_United_States_of_America/ND_North_Dakota/USA_ND_Jamestown.Rgnl.AP.727535_TMY3.zip</v>
      </c>
    </row>
    <row r="643" spans="1:10" x14ac:dyDescent="0.25">
      <c r="A643" t="s">
        <v>15</v>
      </c>
      <c r="B643" t="s">
        <v>681</v>
      </c>
      <c r="C643" t="s">
        <v>689</v>
      </c>
      <c r="D643">
        <v>727675</v>
      </c>
      <c r="E643" t="s">
        <v>13</v>
      </c>
      <c r="F643">
        <v>48.417000000000002</v>
      </c>
      <c r="G643">
        <v>-101.35</v>
      </c>
      <c r="H643">
        <v>-6</v>
      </c>
      <c r="I643">
        <v>497</v>
      </c>
      <c r="J643" t="str">
        <f>HYPERLINK("https://climate.onebuilding.org/WMO_Region_4_North_and_Central_America/USA_United_States_of_America/ND_North_Dakota/USA_ND_Minot.AFB.727675_TMY3.zip")</f>
        <v>https://climate.onebuilding.org/WMO_Region_4_North_and_Central_America/USA_United_States_of_America/ND_North_Dakota/USA_ND_Minot.AFB.727675_TMY3.zip</v>
      </c>
    </row>
    <row r="644" spans="1:10" x14ac:dyDescent="0.25">
      <c r="A644" t="s">
        <v>15</v>
      </c>
      <c r="B644" t="s">
        <v>681</v>
      </c>
      <c r="C644" t="s">
        <v>690</v>
      </c>
      <c r="D644">
        <v>727676</v>
      </c>
      <c r="E644" t="s">
        <v>13</v>
      </c>
      <c r="F644">
        <v>48.267000000000003</v>
      </c>
      <c r="G644">
        <v>-101.283</v>
      </c>
      <c r="H644">
        <v>-6</v>
      </c>
      <c r="I644">
        <v>523</v>
      </c>
      <c r="J644" t="str">
        <f>HYPERLINK("https://climate.onebuilding.org/WMO_Region_4_North_and_Central_America/USA_United_States_of_America/ND_North_Dakota/USA_ND_Minot.Intl.AP.727676_TMY3.zip")</f>
        <v>https://climate.onebuilding.org/WMO_Region_4_North_and_Central_America/USA_United_States_of_America/ND_North_Dakota/USA_ND_Minot.Intl.AP.727676_TMY3.zip</v>
      </c>
    </row>
    <row r="645" spans="1:10" x14ac:dyDescent="0.25">
      <c r="A645" t="s">
        <v>15</v>
      </c>
      <c r="B645" t="s">
        <v>681</v>
      </c>
      <c r="C645" t="s">
        <v>691</v>
      </c>
      <c r="D645">
        <v>727670</v>
      </c>
      <c r="E645" t="s">
        <v>13</v>
      </c>
      <c r="F645">
        <v>48.2</v>
      </c>
      <c r="G645">
        <v>-103.65</v>
      </c>
      <c r="H645">
        <v>-6</v>
      </c>
      <c r="I645">
        <v>580</v>
      </c>
      <c r="J645" t="str">
        <f>HYPERLINK("https://climate.onebuilding.org/WMO_Region_4_North_and_Central_America/USA_United_States_of_America/ND_North_Dakota/USA_ND_Williston-Sloulin.Field.Intl.AP.727670_TMY3.zip")</f>
        <v>https://climate.onebuilding.org/WMO_Region_4_North_and_Central_America/USA_United_States_of_America/ND_North_Dakota/USA_ND_Williston-Sloulin.Field.Intl.AP.727670_TMY3.zip</v>
      </c>
    </row>
    <row r="646" spans="1:10" x14ac:dyDescent="0.25">
      <c r="A646" t="s">
        <v>15</v>
      </c>
      <c r="B646" t="s">
        <v>692</v>
      </c>
      <c r="C646" t="s">
        <v>693</v>
      </c>
      <c r="D646">
        <v>725556</v>
      </c>
      <c r="E646" t="s">
        <v>13</v>
      </c>
      <c r="F646">
        <v>42.582999999999998</v>
      </c>
      <c r="G646">
        <v>-100</v>
      </c>
      <c r="H646">
        <v>-6</v>
      </c>
      <c r="I646">
        <v>789</v>
      </c>
      <c r="J646" t="str">
        <f>HYPERLINK("https://climate.onebuilding.org/WMO_Region_4_North_and_Central_America/USA_United_States_of_America/NE_Nebraska/USA_NE_Ainsworth.Rgnl.AP.725556_TMY3.zip")</f>
        <v>https://climate.onebuilding.org/WMO_Region_4_North_and_Central_America/USA_United_States_of_America/NE_Nebraska/USA_NE_Ainsworth.Rgnl.AP.725556_TMY3.zip</v>
      </c>
    </row>
    <row r="647" spans="1:10" x14ac:dyDescent="0.25">
      <c r="A647" t="s">
        <v>15</v>
      </c>
      <c r="B647" t="s">
        <v>692</v>
      </c>
      <c r="C647" t="s">
        <v>694</v>
      </c>
      <c r="D647">
        <v>725635</v>
      </c>
      <c r="E647" t="s">
        <v>13</v>
      </c>
      <c r="F647">
        <v>42.05</v>
      </c>
      <c r="G647">
        <v>-102.8</v>
      </c>
      <c r="H647">
        <v>-7</v>
      </c>
      <c r="I647">
        <v>1198</v>
      </c>
      <c r="J647" t="str">
        <f>HYPERLINK("https://climate.onebuilding.org/WMO_Region_4_North_and_Central_America/USA_United_States_of_America/NE_Nebraska/USA_NE_Alliance.Muni.AP.725635_TMY3.zip")</f>
        <v>https://climate.onebuilding.org/WMO_Region_4_North_and_Central_America/USA_United_States_of_America/NE_Nebraska/USA_NE_Alliance.Muni.AP.725635_TMY3.zip</v>
      </c>
    </row>
    <row r="648" spans="1:10" x14ac:dyDescent="0.25">
      <c r="A648" t="s">
        <v>15</v>
      </c>
      <c r="B648" t="s">
        <v>692</v>
      </c>
      <c r="C648" t="s">
        <v>695</v>
      </c>
      <c r="D648">
        <v>725515</v>
      </c>
      <c r="E648" t="s">
        <v>13</v>
      </c>
      <c r="F648">
        <v>40.299999999999997</v>
      </c>
      <c r="G648">
        <v>-96.75</v>
      </c>
      <c r="H648">
        <v>-6</v>
      </c>
      <c r="I648">
        <v>403</v>
      </c>
      <c r="J648" t="str">
        <f>HYPERLINK("https://climate.onebuilding.org/WMO_Region_4_North_and_Central_America/USA_United_States_of_America/NE_Nebraska/USA_NE_Beatrice.Muni.AP.725515_TMY3.zip")</f>
        <v>https://climate.onebuilding.org/WMO_Region_4_North_and_Central_America/USA_United_States_of_America/NE_Nebraska/USA_NE_Beatrice.Muni.AP.725515_TMY3.zip</v>
      </c>
    </row>
    <row r="649" spans="1:10" x14ac:dyDescent="0.25">
      <c r="A649" t="s">
        <v>15</v>
      </c>
      <c r="B649" t="s">
        <v>692</v>
      </c>
      <c r="C649" t="s">
        <v>696</v>
      </c>
      <c r="D649">
        <v>725540</v>
      </c>
      <c r="E649" t="s">
        <v>13</v>
      </c>
      <c r="F649">
        <v>41.116999999999997</v>
      </c>
      <c r="G649">
        <v>-95.917000000000002</v>
      </c>
      <c r="H649">
        <v>-6</v>
      </c>
      <c r="I649">
        <v>319</v>
      </c>
      <c r="J649" t="str">
        <f>HYPERLINK("https://climate.onebuilding.org/WMO_Region_4_North_and_Central_America/USA_United_States_of_America/NE_Nebraska/USA_NE_Bellevue-Offutt.AFB.725540_TMY3.zip")</f>
        <v>https://climate.onebuilding.org/WMO_Region_4_North_and_Central_America/USA_United_States_of_America/NE_Nebraska/USA_NE_Bellevue-Offutt.AFB.725540_TMY3.zip</v>
      </c>
    </row>
    <row r="650" spans="1:10" x14ac:dyDescent="0.25">
      <c r="A650" t="s">
        <v>15</v>
      </c>
      <c r="B650" t="s">
        <v>692</v>
      </c>
      <c r="C650" t="s">
        <v>697</v>
      </c>
      <c r="D650">
        <v>725555</v>
      </c>
      <c r="E650" t="s">
        <v>13</v>
      </c>
      <c r="F650">
        <v>41.433</v>
      </c>
      <c r="G650">
        <v>-99.65</v>
      </c>
      <c r="H650">
        <v>-6</v>
      </c>
      <c r="I650">
        <v>776</v>
      </c>
      <c r="J650" t="str">
        <f>HYPERLINK("https://climate.onebuilding.org/WMO_Region_4_North_and_Central_America/USA_United_States_of_America/NE_Nebraska/USA_NE_Broken.Bow.Muni.AP.725555_TMY3.zip")</f>
        <v>https://climate.onebuilding.org/WMO_Region_4_North_and_Central_America/USA_United_States_of_America/NE_Nebraska/USA_NE_Broken.Bow.Muni.AP.725555_TMY3.zip</v>
      </c>
    </row>
    <row r="651" spans="1:10" x14ac:dyDescent="0.25">
      <c r="A651" t="s">
        <v>15</v>
      </c>
      <c r="B651" t="s">
        <v>692</v>
      </c>
      <c r="C651" t="s">
        <v>698</v>
      </c>
      <c r="D651">
        <v>725636</v>
      </c>
      <c r="E651" t="s">
        <v>13</v>
      </c>
      <c r="F651">
        <v>42.832999999999998</v>
      </c>
      <c r="G651">
        <v>-103.083</v>
      </c>
      <c r="H651">
        <v>-7</v>
      </c>
      <c r="I651">
        <v>1011</v>
      </c>
      <c r="J651" t="str">
        <f>HYPERLINK("https://climate.onebuilding.org/WMO_Region_4_North_and_Central_America/USA_United_States_of_America/NE_Nebraska/USA_NE_Chadron.Muni.AP.725636_TMY3.zip")</f>
        <v>https://climate.onebuilding.org/WMO_Region_4_North_and_Central_America/USA_United_States_of_America/NE_Nebraska/USA_NE_Chadron.Muni.AP.725636_TMY3.zip</v>
      </c>
    </row>
    <row r="652" spans="1:10" x14ac:dyDescent="0.25">
      <c r="A652" t="s">
        <v>15</v>
      </c>
      <c r="B652" t="s">
        <v>692</v>
      </c>
      <c r="C652" t="s">
        <v>699</v>
      </c>
      <c r="D652">
        <v>725565</v>
      </c>
      <c r="E652" t="s">
        <v>13</v>
      </c>
      <c r="F652">
        <v>41.45</v>
      </c>
      <c r="G652">
        <v>-97.332999999999998</v>
      </c>
      <c r="H652">
        <v>-6</v>
      </c>
      <c r="I652">
        <v>451</v>
      </c>
      <c r="J652" t="str">
        <f>HYPERLINK("https://climate.onebuilding.org/WMO_Region_4_North_and_Central_America/USA_United_States_of_America/NE_Nebraska/USA_NE_Columbus.Muni.AP.725565_TMY3.zip")</f>
        <v>https://climate.onebuilding.org/WMO_Region_4_North_and_Central_America/USA_United_States_of_America/NE_Nebraska/USA_NE_Columbus.Muni.AP.725565_TMY3.zip</v>
      </c>
    </row>
    <row r="653" spans="1:10" x14ac:dyDescent="0.25">
      <c r="A653" t="s">
        <v>15</v>
      </c>
      <c r="B653" t="s">
        <v>692</v>
      </c>
      <c r="C653" t="s">
        <v>700</v>
      </c>
      <c r="D653">
        <v>725533</v>
      </c>
      <c r="E653" t="s">
        <v>13</v>
      </c>
      <c r="F653">
        <v>40.082999999999998</v>
      </c>
      <c r="G653">
        <v>-95.6</v>
      </c>
      <c r="H653">
        <v>-6</v>
      </c>
      <c r="I653">
        <v>300</v>
      </c>
      <c r="J653" t="str">
        <f>HYPERLINK("https://climate.onebuilding.org/WMO_Region_4_North_and_Central_America/USA_United_States_of_America/NE_Nebraska/USA_NE_Falls.City-Brenner.Field.AP.725533_TMY3.zip")</f>
        <v>https://climate.onebuilding.org/WMO_Region_4_North_and_Central_America/USA_United_States_of_America/NE_Nebraska/USA_NE_Falls.City-Brenner.Field.AP.725533_TMY3.zip</v>
      </c>
    </row>
    <row r="654" spans="1:10" x14ac:dyDescent="0.25">
      <c r="A654" t="s">
        <v>15</v>
      </c>
      <c r="B654" t="s">
        <v>692</v>
      </c>
      <c r="C654" t="s">
        <v>701</v>
      </c>
      <c r="D654">
        <v>725564</v>
      </c>
      <c r="E654" t="s">
        <v>13</v>
      </c>
      <c r="F654">
        <v>41.45</v>
      </c>
      <c r="G654">
        <v>-96.516999999999996</v>
      </c>
      <c r="H654">
        <v>-6</v>
      </c>
      <c r="I654">
        <v>379</v>
      </c>
      <c r="J654" t="str">
        <f>HYPERLINK("https://climate.onebuilding.org/WMO_Region_4_North_and_Central_America/USA_United_States_of_America/NE_Nebraska/USA_NE_Fremont.Muni.AP.725564_TMY3.zip")</f>
        <v>https://climate.onebuilding.org/WMO_Region_4_North_and_Central_America/USA_United_States_of_America/NE_Nebraska/USA_NE_Fremont.Muni.AP.725564_TMY3.zip</v>
      </c>
    </row>
    <row r="655" spans="1:10" x14ac:dyDescent="0.25">
      <c r="A655" t="s">
        <v>15</v>
      </c>
      <c r="B655" t="s">
        <v>692</v>
      </c>
      <c r="C655" t="s">
        <v>702</v>
      </c>
      <c r="D655">
        <v>725520</v>
      </c>
      <c r="E655" t="s">
        <v>13</v>
      </c>
      <c r="F655">
        <v>40.966999999999999</v>
      </c>
      <c r="G655">
        <v>-98.316999999999993</v>
      </c>
      <c r="H655">
        <v>-6</v>
      </c>
      <c r="I655">
        <v>561</v>
      </c>
      <c r="J655" t="str">
        <f>HYPERLINK("https://climate.onebuilding.org/WMO_Region_4_North_and_Central_America/USA_United_States_of_America/NE_Nebraska/USA_NE_Grand.Island-Central.Nebraska.Rgnl.AP.725520_TMY3.zip")</f>
        <v>https://climate.onebuilding.org/WMO_Region_4_North_and_Central_America/USA_United_States_of_America/NE_Nebraska/USA_NE_Grand.Island-Central.Nebraska.Rgnl.AP.725520_TMY3.zip</v>
      </c>
    </row>
    <row r="656" spans="1:10" x14ac:dyDescent="0.25">
      <c r="A656" t="s">
        <v>15</v>
      </c>
      <c r="B656" t="s">
        <v>692</v>
      </c>
      <c r="C656" t="s">
        <v>703</v>
      </c>
      <c r="D656">
        <v>725525</v>
      </c>
      <c r="E656" t="s">
        <v>13</v>
      </c>
      <c r="F656">
        <v>40.6</v>
      </c>
      <c r="G656">
        <v>-98.433000000000007</v>
      </c>
      <c r="H656">
        <v>-6</v>
      </c>
      <c r="I656">
        <v>596</v>
      </c>
      <c r="J656" t="str">
        <f>HYPERLINK("https://climate.onebuilding.org/WMO_Region_4_North_and_Central_America/USA_United_States_of_America/NE_Nebraska/USA_NE_Hastings.Muni.AP.725525_TMY3.zip")</f>
        <v>https://climate.onebuilding.org/WMO_Region_4_North_and_Central_America/USA_United_States_of_America/NE_Nebraska/USA_NE_Hastings.Muni.AP.725525_TMY3.zip</v>
      </c>
    </row>
    <row r="657" spans="1:10" x14ac:dyDescent="0.25">
      <c r="A657" t="s">
        <v>15</v>
      </c>
      <c r="B657" t="s">
        <v>692</v>
      </c>
      <c r="C657" t="s">
        <v>704</v>
      </c>
      <c r="D657">
        <v>725628</v>
      </c>
      <c r="E657" t="s">
        <v>13</v>
      </c>
      <c r="F657">
        <v>40.450000000000003</v>
      </c>
      <c r="G657">
        <v>-99.332999999999998</v>
      </c>
      <c r="H657">
        <v>-6</v>
      </c>
      <c r="I657">
        <v>704</v>
      </c>
      <c r="J657" t="str">
        <f>HYPERLINK("https://climate.onebuilding.org/WMO_Region_4_North_and_Central_America/USA_United_States_of_America/NE_Nebraska/USA_NE_Holdrege-Brewster.Field.AP.725628_TMY3.zip")</f>
        <v>https://climate.onebuilding.org/WMO_Region_4_North_and_Central_America/USA_United_States_of_America/NE_Nebraska/USA_NE_Holdrege-Brewster.Field.AP.725628_TMY3.zip</v>
      </c>
    </row>
    <row r="658" spans="1:10" x14ac:dyDescent="0.25">
      <c r="A658" t="s">
        <v>15</v>
      </c>
      <c r="B658" t="s">
        <v>692</v>
      </c>
      <c r="C658" t="s">
        <v>705</v>
      </c>
      <c r="D658">
        <v>725626</v>
      </c>
      <c r="E658" t="s">
        <v>13</v>
      </c>
      <c r="F658">
        <v>40.51</v>
      </c>
      <c r="G658">
        <v>-101.62</v>
      </c>
      <c r="H658">
        <v>-7</v>
      </c>
      <c r="I658">
        <v>998</v>
      </c>
      <c r="J658" t="str">
        <f>HYPERLINK("https://climate.onebuilding.org/WMO_Region_4_North_and_Central_America/USA_United_States_of_America/NE_Nebraska/USA_NE_Imperial.Muni.AP.725626_TMY3.zip")</f>
        <v>https://climate.onebuilding.org/WMO_Region_4_North_and_Central_America/USA_United_States_of_America/NE_Nebraska/USA_NE_Imperial.Muni.AP.725626_TMY3.zip</v>
      </c>
    </row>
    <row r="659" spans="1:10" x14ac:dyDescent="0.25">
      <c r="A659" t="s">
        <v>15</v>
      </c>
      <c r="B659" t="s">
        <v>692</v>
      </c>
      <c r="C659" t="s">
        <v>706</v>
      </c>
      <c r="D659">
        <v>725526</v>
      </c>
      <c r="E659" t="s">
        <v>13</v>
      </c>
      <c r="F659">
        <v>40.732999999999997</v>
      </c>
      <c r="G659">
        <v>-99</v>
      </c>
      <c r="H659">
        <v>-6</v>
      </c>
      <c r="I659">
        <v>649</v>
      </c>
      <c r="J659" t="str">
        <f>HYPERLINK("https://climate.onebuilding.org/WMO_Region_4_North_and_Central_America/USA_United_States_of_America/NE_Nebraska/USA_NE_Kearney.Rgnl.AP.725526_TMY3.zip")</f>
        <v>https://climate.onebuilding.org/WMO_Region_4_North_and_Central_America/USA_United_States_of_America/NE_Nebraska/USA_NE_Kearney.Rgnl.AP.725526_TMY3.zip</v>
      </c>
    </row>
    <row r="660" spans="1:10" x14ac:dyDescent="0.25">
      <c r="A660" t="s">
        <v>15</v>
      </c>
      <c r="B660" t="s">
        <v>692</v>
      </c>
      <c r="C660" t="s">
        <v>707</v>
      </c>
      <c r="D660">
        <v>725510</v>
      </c>
      <c r="E660" t="s">
        <v>13</v>
      </c>
      <c r="F660">
        <v>40.832999999999998</v>
      </c>
      <c r="G660">
        <v>-96.766999999999996</v>
      </c>
      <c r="H660">
        <v>-6</v>
      </c>
      <c r="I660">
        <v>357</v>
      </c>
      <c r="J660" t="str">
        <f>HYPERLINK("https://climate.onebuilding.org/WMO_Region_4_North_and_Central_America/USA_United_States_of_America/NE_Nebraska/USA_NE_Lincoln.AP.725510_TMY3.zip")</f>
        <v>https://climate.onebuilding.org/WMO_Region_4_North_and_Central_America/USA_United_States_of_America/NE_Nebraska/USA_NE_Lincoln.AP.725510_TMY3.zip</v>
      </c>
    </row>
    <row r="661" spans="1:10" x14ac:dyDescent="0.25">
      <c r="A661" t="s">
        <v>15</v>
      </c>
      <c r="B661" t="s">
        <v>692</v>
      </c>
      <c r="C661" t="s">
        <v>708</v>
      </c>
      <c r="D661">
        <v>725625</v>
      </c>
      <c r="E661" t="s">
        <v>13</v>
      </c>
      <c r="F661">
        <v>40.200000000000003</v>
      </c>
      <c r="G661">
        <v>-100.583</v>
      </c>
      <c r="H661">
        <v>-6</v>
      </c>
      <c r="I661">
        <v>786</v>
      </c>
      <c r="J661" t="str">
        <f>HYPERLINK("https://climate.onebuilding.org/WMO_Region_4_North_and_Central_America/USA_United_States_of_America/NE_Nebraska/USA_NE_McCook.Nelson.Rgnl.AP.725625_TMY3.zip")</f>
        <v>https://climate.onebuilding.org/WMO_Region_4_North_and_Central_America/USA_United_States_of_America/NE_Nebraska/USA_NE_McCook.Nelson.Rgnl.AP.725625_TMY3.zip</v>
      </c>
    </row>
    <row r="662" spans="1:10" x14ac:dyDescent="0.25">
      <c r="A662" t="s">
        <v>15</v>
      </c>
      <c r="B662" t="s">
        <v>692</v>
      </c>
      <c r="C662" t="s">
        <v>709</v>
      </c>
      <c r="D662">
        <v>725560</v>
      </c>
      <c r="E662" t="s">
        <v>13</v>
      </c>
      <c r="F662">
        <v>41.982999999999997</v>
      </c>
      <c r="G662">
        <v>-97.433000000000007</v>
      </c>
      <c r="H662">
        <v>-6</v>
      </c>
      <c r="I662">
        <v>472</v>
      </c>
      <c r="J662" t="str">
        <f>HYPERLINK("https://climate.onebuilding.org/WMO_Region_4_North_and_Central_America/USA_United_States_of_America/NE_Nebraska/USA_NE_Norfolk.Rgnl.AP-Stefan.Meml.Field.725560_TMY3.zip")</f>
        <v>https://climate.onebuilding.org/WMO_Region_4_North_and_Central_America/USA_United_States_of_America/NE_Nebraska/USA_NE_Norfolk.Rgnl.AP-Stefan.Meml.Field.725560_TMY3.zip</v>
      </c>
    </row>
    <row r="663" spans="1:10" x14ac:dyDescent="0.25">
      <c r="A663" t="s">
        <v>15</v>
      </c>
      <c r="B663" t="s">
        <v>692</v>
      </c>
      <c r="C663" t="s">
        <v>710</v>
      </c>
      <c r="D663">
        <v>725620</v>
      </c>
      <c r="E663" t="s">
        <v>13</v>
      </c>
      <c r="F663">
        <v>41.116999999999997</v>
      </c>
      <c r="G663">
        <v>-100.667</v>
      </c>
      <c r="H663">
        <v>-6</v>
      </c>
      <c r="I663">
        <v>847</v>
      </c>
      <c r="J663" t="str">
        <f>HYPERLINK("https://climate.onebuilding.org/WMO_Region_4_North_and_Central_America/USA_United_States_of_America/NE_Nebraska/USA_NE_North.Platte.Rgnl.AP-Bird.Field.725620_TMY3.zip")</f>
        <v>https://climate.onebuilding.org/WMO_Region_4_North_and_Central_America/USA_United_States_of_America/NE_Nebraska/USA_NE_North.Platte.Rgnl.AP-Bird.Field.725620_TMY3.zip</v>
      </c>
    </row>
    <row r="664" spans="1:10" x14ac:dyDescent="0.25">
      <c r="A664" t="s">
        <v>15</v>
      </c>
      <c r="B664" t="s">
        <v>692</v>
      </c>
      <c r="C664" t="s">
        <v>711</v>
      </c>
      <c r="D664">
        <v>725566</v>
      </c>
      <c r="E664" t="s">
        <v>13</v>
      </c>
      <c r="F664">
        <v>42.466999999999999</v>
      </c>
      <c r="G664">
        <v>-98.683000000000007</v>
      </c>
      <c r="H664">
        <v>-6</v>
      </c>
      <c r="I664">
        <v>619</v>
      </c>
      <c r="J664" t="str">
        <f>HYPERLINK("https://climate.onebuilding.org/WMO_Region_4_North_and_Central_America/USA_United_States_of_America/NE_Nebraska/USA_NE_ONeill.Muni.AP-Baker.Field.725566_TMY3.zip")</f>
        <v>https://climate.onebuilding.org/WMO_Region_4_North_and_Central_America/USA_United_States_of_America/NE_Nebraska/USA_NE_ONeill.Muni.AP-Baker.Field.725566_TMY3.zip</v>
      </c>
    </row>
    <row r="665" spans="1:10" x14ac:dyDescent="0.25">
      <c r="A665" t="s">
        <v>15</v>
      </c>
      <c r="B665" t="s">
        <v>692</v>
      </c>
      <c r="C665" t="s">
        <v>712</v>
      </c>
      <c r="D665">
        <v>725500</v>
      </c>
      <c r="E665" t="s">
        <v>13</v>
      </c>
      <c r="F665">
        <v>41.317</v>
      </c>
      <c r="G665">
        <v>-95.9</v>
      </c>
      <c r="H665">
        <v>-6</v>
      </c>
      <c r="I665">
        <v>299</v>
      </c>
      <c r="J665" t="str">
        <f>HYPERLINK("https://climate.onebuilding.org/WMO_Region_4_North_and_Central_America/USA_United_States_of_America/NE_Nebraska/USA_NE_Omaha-Eppley.Airfield-Millard.AP.725500_TMY3.zip")</f>
        <v>https://climate.onebuilding.org/WMO_Region_4_North_and_Central_America/USA_United_States_of_America/NE_Nebraska/USA_NE_Omaha-Eppley.Airfield-Millard.AP.725500_TMY3.zip</v>
      </c>
    </row>
    <row r="666" spans="1:10" x14ac:dyDescent="0.25">
      <c r="A666" t="s">
        <v>15</v>
      </c>
      <c r="B666" t="s">
        <v>692</v>
      </c>
      <c r="C666" t="s">
        <v>713</v>
      </c>
      <c r="D666">
        <v>725530</v>
      </c>
      <c r="E666" t="s">
        <v>13</v>
      </c>
      <c r="F666">
        <v>41.366999999999997</v>
      </c>
      <c r="G666">
        <v>-96.016999999999996</v>
      </c>
      <c r="H666">
        <v>-6</v>
      </c>
      <c r="I666">
        <v>399</v>
      </c>
      <c r="J666" t="str">
        <f>HYPERLINK("https://climate.onebuilding.org/WMO_Region_4_North_and_Central_America/USA_United_States_of_America/NE_Nebraska/USA_NE_Omaha.North.WSFO.AP.725530_TMY3.zip")</f>
        <v>https://climate.onebuilding.org/WMO_Region_4_North_and_Central_America/USA_United_States_of_America/NE_Nebraska/USA_NE_Omaha.North.WSFO.AP.725530_TMY3.zip</v>
      </c>
    </row>
    <row r="667" spans="1:10" x14ac:dyDescent="0.25">
      <c r="A667" t="s">
        <v>15</v>
      </c>
      <c r="B667" t="s">
        <v>692</v>
      </c>
      <c r="C667" t="s">
        <v>714</v>
      </c>
      <c r="D667">
        <v>725524</v>
      </c>
      <c r="E667" t="s">
        <v>13</v>
      </c>
      <c r="F667">
        <v>41.616999999999997</v>
      </c>
      <c r="G667">
        <v>-98.95</v>
      </c>
      <c r="H667">
        <v>-6</v>
      </c>
      <c r="I667">
        <v>631</v>
      </c>
      <c r="J667" t="str">
        <f>HYPERLINK("https://climate.onebuilding.org/WMO_Region_4_North_and_Central_America/USA_United_States_of_America/NE_Nebraska/USA_NE_Ord-Sharp.Field.AP.725524_TMY3.zip")</f>
        <v>https://climate.onebuilding.org/WMO_Region_4_North_and_Central_America/USA_United_States_of_America/NE_Nebraska/USA_NE_Ord-Sharp.Field.AP.725524_TMY3.zip</v>
      </c>
    </row>
    <row r="668" spans="1:10" x14ac:dyDescent="0.25">
      <c r="A668" t="s">
        <v>15</v>
      </c>
      <c r="B668" t="s">
        <v>692</v>
      </c>
      <c r="C668" t="s">
        <v>715</v>
      </c>
      <c r="D668">
        <v>725660</v>
      </c>
      <c r="E668" t="s">
        <v>13</v>
      </c>
      <c r="F668">
        <v>41.866999999999997</v>
      </c>
      <c r="G668">
        <v>-103.6</v>
      </c>
      <c r="H668">
        <v>-7</v>
      </c>
      <c r="I668">
        <v>1202</v>
      </c>
      <c r="J668" t="str">
        <f>HYPERLINK("https://climate.onebuilding.org/WMO_Region_4_North_and_Central_America/USA_United_States_of_America/NE_Nebraska/USA_NE_Scottsbluff-Western.Nebraska.Rgnl.AP-Heilig.Field.725660_TMY3.zip")</f>
        <v>https://climate.onebuilding.org/WMO_Region_4_North_and_Central_America/USA_United_States_of_America/NE_Nebraska/USA_NE_Scottsbluff-Western.Nebraska.Rgnl.AP-Heilig.Field.725660_TMY3.zip</v>
      </c>
    </row>
    <row r="669" spans="1:10" x14ac:dyDescent="0.25">
      <c r="A669" t="s">
        <v>15</v>
      </c>
      <c r="B669" t="s">
        <v>692</v>
      </c>
      <c r="C669" t="s">
        <v>716</v>
      </c>
      <c r="D669">
        <v>725610</v>
      </c>
      <c r="E669" t="s">
        <v>13</v>
      </c>
      <c r="F669">
        <v>41.1</v>
      </c>
      <c r="G669">
        <v>-102.983</v>
      </c>
      <c r="H669">
        <v>-7</v>
      </c>
      <c r="I669">
        <v>1313</v>
      </c>
      <c r="J669" t="str">
        <f>HYPERLINK("https://climate.onebuilding.org/WMO_Region_4_North_and_Central_America/USA_United_States_of_America/NE_Nebraska/USA_NE_Sidney.Muni.AP-Carr.Field.725610_TMY3.zip")</f>
        <v>https://climate.onebuilding.org/WMO_Region_4_North_and_Central_America/USA_United_States_of_America/NE_Nebraska/USA_NE_Sidney.Muni.AP-Carr.Field.725610_TMY3.zip</v>
      </c>
    </row>
    <row r="670" spans="1:10" x14ac:dyDescent="0.25">
      <c r="A670" t="s">
        <v>15</v>
      </c>
      <c r="B670" t="s">
        <v>692</v>
      </c>
      <c r="C670" t="s">
        <v>717</v>
      </c>
      <c r="D670">
        <v>725527</v>
      </c>
      <c r="E670" t="s">
        <v>13</v>
      </c>
      <c r="F670">
        <v>41.767000000000003</v>
      </c>
      <c r="G670">
        <v>-96.167000000000002</v>
      </c>
      <c r="H670">
        <v>-6</v>
      </c>
      <c r="I670">
        <v>312</v>
      </c>
      <c r="J670" t="str">
        <f>HYPERLINK("https://climate.onebuilding.org/WMO_Region_4_North_and_Central_America/USA_United_States_of_America/NE_Nebraska/USA_NE_Tekamah.Muni.AP.725527_TMY3.zip")</f>
        <v>https://climate.onebuilding.org/WMO_Region_4_North_and_Central_America/USA_United_States_of_America/NE_Nebraska/USA_NE_Tekamah.Muni.AP.725527_TMY3.zip</v>
      </c>
    </row>
    <row r="671" spans="1:10" x14ac:dyDescent="0.25">
      <c r="A671" t="s">
        <v>15</v>
      </c>
      <c r="B671" t="s">
        <v>692</v>
      </c>
      <c r="C671" t="s">
        <v>718</v>
      </c>
      <c r="D671">
        <v>725670</v>
      </c>
      <c r="E671" t="s">
        <v>13</v>
      </c>
      <c r="F671">
        <v>42.866999999999997</v>
      </c>
      <c r="G671">
        <v>-100.55</v>
      </c>
      <c r="H671">
        <v>-6</v>
      </c>
      <c r="I671">
        <v>789</v>
      </c>
      <c r="J671" t="str">
        <f>HYPERLINK("https://climate.onebuilding.org/WMO_Region_4_North_and_Central_America/USA_United_States_of_America/NE_Nebraska/USA_NE_Valentine-Miller.Field.AP.725670_TMY3.zip")</f>
        <v>https://climate.onebuilding.org/WMO_Region_4_North_and_Central_America/USA_United_States_of_America/NE_Nebraska/USA_NE_Valentine-Miller.Field.AP.725670_TMY3.zip</v>
      </c>
    </row>
    <row r="672" spans="1:10" x14ac:dyDescent="0.25">
      <c r="A672" t="s">
        <v>15</v>
      </c>
      <c r="B672" t="s">
        <v>719</v>
      </c>
      <c r="C672" t="s">
        <v>720</v>
      </c>
      <c r="D672">
        <v>726160</v>
      </c>
      <c r="E672" t="s">
        <v>13</v>
      </c>
      <c r="F672">
        <v>44.582999999999998</v>
      </c>
      <c r="G672">
        <v>-71.183000000000007</v>
      </c>
      <c r="H672">
        <v>-5</v>
      </c>
      <c r="I672">
        <v>353</v>
      </c>
      <c r="J672" t="str">
        <f>HYPERLINK("https://climate.onebuilding.org/WMO_Region_4_North_and_Central_America/USA_United_States_of_America/NH_New_Hampshire/USA_NH_Berlin.Rgnl.AP.726160_TMY3.zip")</f>
        <v>https://climate.onebuilding.org/WMO_Region_4_North_and_Central_America/USA_United_States_of_America/NH_New_Hampshire/USA_NH_Berlin.Rgnl.AP.726160_TMY3.zip</v>
      </c>
    </row>
    <row r="673" spans="1:10" x14ac:dyDescent="0.25">
      <c r="A673" t="s">
        <v>15</v>
      </c>
      <c r="B673" t="s">
        <v>719</v>
      </c>
      <c r="C673" t="s">
        <v>721</v>
      </c>
      <c r="D673">
        <v>726050</v>
      </c>
      <c r="E673" t="s">
        <v>13</v>
      </c>
      <c r="F673">
        <v>43.2</v>
      </c>
      <c r="G673">
        <v>-71.5</v>
      </c>
      <c r="H673">
        <v>-5</v>
      </c>
      <c r="I673">
        <v>106</v>
      </c>
      <c r="J673" t="str">
        <f>HYPERLINK("https://climate.onebuilding.org/WMO_Region_4_North_and_Central_America/USA_United_States_of_America/NH_New_Hampshire/USA_NH_Concord.Muni.AP.726050_TMY3.zip")</f>
        <v>https://climate.onebuilding.org/WMO_Region_4_North_and_Central_America/USA_United_States_of_America/NH_New_Hampshire/USA_NH_Concord.Muni.AP.726050_TMY3.zip</v>
      </c>
    </row>
    <row r="674" spans="1:10" x14ac:dyDescent="0.25">
      <c r="A674" t="s">
        <v>15</v>
      </c>
      <c r="B674" t="s">
        <v>719</v>
      </c>
      <c r="C674" t="s">
        <v>722</v>
      </c>
      <c r="D674">
        <v>726165</v>
      </c>
      <c r="E674" t="s">
        <v>13</v>
      </c>
      <c r="F674">
        <v>42.9</v>
      </c>
      <c r="G674">
        <v>-72.266999999999996</v>
      </c>
      <c r="H674">
        <v>-5</v>
      </c>
      <c r="I674">
        <v>153</v>
      </c>
      <c r="J674" t="str">
        <f>HYPERLINK("https://climate.onebuilding.org/WMO_Region_4_North_and_Central_America/USA_United_States_of_America/NH_New_Hampshire/USA_NH_Keene-Dillant-Hopkins.AP.726165_TMY3.zip")</f>
        <v>https://climate.onebuilding.org/WMO_Region_4_North_and_Central_America/USA_United_States_of_America/NH_New_Hampshire/USA_NH_Keene-Dillant-Hopkins.AP.726165_TMY3.zip</v>
      </c>
    </row>
    <row r="675" spans="1:10" x14ac:dyDescent="0.25">
      <c r="A675" t="s">
        <v>15</v>
      </c>
      <c r="B675" t="s">
        <v>719</v>
      </c>
      <c r="C675" t="s">
        <v>723</v>
      </c>
      <c r="D675">
        <v>726155</v>
      </c>
      <c r="E675" t="s">
        <v>13</v>
      </c>
      <c r="F675">
        <v>43.567</v>
      </c>
      <c r="G675">
        <v>-71.417000000000002</v>
      </c>
      <c r="H675">
        <v>-5</v>
      </c>
      <c r="I675">
        <v>166</v>
      </c>
      <c r="J675" t="str">
        <f>HYPERLINK("https://climate.onebuilding.org/WMO_Region_4_North_and_Central_America/USA_United_States_of_America/NH_New_Hampshire/USA_NH_Laconia.Muni.AP.726155_TMY3.zip")</f>
        <v>https://climate.onebuilding.org/WMO_Region_4_North_and_Central_America/USA_United_States_of_America/NH_New_Hampshire/USA_NH_Laconia.Muni.AP.726155_TMY3.zip</v>
      </c>
    </row>
    <row r="676" spans="1:10" x14ac:dyDescent="0.25">
      <c r="A676" t="s">
        <v>15</v>
      </c>
      <c r="B676" t="s">
        <v>719</v>
      </c>
      <c r="C676" t="s">
        <v>724</v>
      </c>
      <c r="D676">
        <v>726116</v>
      </c>
      <c r="E676" t="s">
        <v>13</v>
      </c>
      <c r="F676">
        <v>43.633000000000003</v>
      </c>
      <c r="G676">
        <v>-72.3</v>
      </c>
      <c r="H676">
        <v>-5</v>
      </c>
      <c r="I676">
        <v>182</v>
      </c>
      <c r="J676" t="str">
        <f>HYPERLINK("https://climate.onebuilding.org/WMO_Region_4_North_and_Central_America/USA_United_States_of_America/NH_New_Hampshire/USA_NH_Lebanon.Muni.AP.726116_TMY3.zip")</f>
        <v>https://climate.onebuilding.org/WMO_Region_4_North_and_Central_America/USA_United_States_of_America/NH_New_Hampshire/USA_NH_Lebanon.Muni.AP.726116_TMY3.zip</v>
      </c>
    </row>
    <row r="677" spans="1:10" x14ac:dyDescent="0.25">
      <c r="A677" t="s">
        <v>15</v>
      </c>
      <c r="B677" t="s">
        <v>719</v>
      </c>
      <c r="C677" t="s">
        <v>725</v>
      </c>
      <c r="D677">
        <v>743945</v>
      </c>
      <c r="E677" t="s">
        <v>13</v>
      </c>
      <c r="F677">
        <v>42.933</v>
      </c>
      <c r="G677">
        <v>-71.433000000000007</v>
      </c>
      <c r="H677">
        <v>-5</v>
      </c>
      <c r="I677">
        <v>69</v>
      </c>
      <c r="J677" t="str">
        <f>HYPERLINK("https://climate.onebuilding.org/WMO_Region_4_North_and_Central_America/USA_United_States_of_America/NH_New_Hampshire/USA_NH_Manchester-Boston.Rgnl.AP.743945_TMY3.zip")</f>
        <v>https://climate.onebuilding.org/WMO_Region_4_North_and_Central_America/USA_United_States_of_America/NH_New_Hampshire/USA_NH_Manchester-Boston.Rgnl.AP.743945_TMY3.zip</v>
      </c>
    </row>
    <row r="678" spans="1:10" x14ac:dyDescent="0.25">
      <c r="A678" t="s">
        <v>15</v>
      </c>
      <c r="B678" t="s">
        <v>719</v>
      </c>
      <c r="C678" t="s">
        <v>726</v>
      </c>
      <c r="D678">
        <v>726130</v>
      </c>
      <c r="E678" t="s">
        <v>13</v>
      </c>
      <c r="F678">
        <v>44.267000000000003</v>
      </c>
      <c r="G678">
        <v>-71.3</v>
      </c>
      <c r="H678">
        <v>-5</v>
      </c>
      <c r="I678">
        <v>1910</v>
      </c>
      <c r="J678" t="str">
        <f>HYPERLINK("https://climate.onebuilding.org/WMO_Region_4_North_and_Central_America/USA_United_States_of_America/NH_New_Hampshire/USA_NH_Mount.Washington.Observatory.726130_TMY3.zip")</f>
        <v>https://climate.onebuilding.org/WMO_Region_4_North_and_Central_America/USA_United_States_of_America/NH_New_Hampshire/USA_NH_Mount.Washington.Observatory.726130_TMY3.zip</v>
      </c>
    </row>
    <row r="679" spans="1:10" x14ac:dyDescent="0.25">
      <c r="A679" t="s">
        <v>15</v>
      </c>
      <c r="B679" t="s">
        <v>719</v>
      </c>
      <c r="C679" t="s">
        <v>727</v>
      </c>
      <c r="D679">
        <v>726055</v>
      </c>
      <c r="E679" t="s">
        <v>13</v>
      </c>
      <c r="F679">
        <v>43.082999999999998</v>
      </c>
      <c r="G679">
        <v>-70.816999999999993</v>
      </c>
      <c r="H679">
        <v>-5</v>
      </c>
      <c r="I679">
        <v>31</v>
      </c>
      <c r="J679" t="str">
        <f>HYPERLINK("https://climate.onebuilding.org/WMO_Region_4_North_and_Central_America/USA_United_States_of_America/NH_New_Hampshire/USA_NH_Portsmouth.Intl.AP.726055_TMY3.zip")</f>
        <v>https://climate.onebuilding.org/WMO_Region_4_North_and_Central_America/USA_United_States_of_America/NH_New_Hampshire/USA_NH_Portsmouth.Intl.AP.726055_TMY3.zip</v>
      </c>
    </row>
    <row r="680" spans="1:10" x14ac:dyDescent="0.25">
      <c r="A680" t="s">
        <v>15</v>
      </c>
      <c r="B680" t="s">
        <v>728</v>
      </c>
      <c r="C680" t="s">
        <v>729</v>
      </c>
      <c r="D680">
        <v>724070</v>
      </c>
      <c r="E680" t="s">
        <v>13</v>
      </c>
      <c r="F680">
        <v>39.450000000000003</v>
      </c>
      <c r="G680">
        <v>-74.566999999999993</v>
      </c>
      <c r="H680">
        <v>-5</v>
      </c>
      <c r="I680">
        <v>18</v>
      </c>
      <c r="J680" t="str">
        <f>HYPERLINK("https://climate.onebuilding.org/WMO_Region_4_North_and_Central_America/USA_United_States_of_America/NJ_New_Jersey/USA_NJ_Atlantic.City.Intl.AP.724070_TMY3.zip")</f>
        <v>https://climate.onebuilding.org/WMO_Region_4_North_and_Central_America/USA_United_States_of_America/NJ_New_Jersey/USA_NJ_Atlantic.City.Intl.AP.724070_TMY3.zip</v>
      </c>
    </row>
    <row r="681" spans="1:10" x14ac:dyDescent="0.25">
      <c r="A681" t="s">
        <v>15</v>
      </c>
      <c r="B681" t="s">
        <v>728</v>
      </c>
      <c r="C681" t="s">
        <v>730</v>
      </c>
      <c r="D681">
        <v>724084</v>
      </c>
      <c r="E681" t="s">
        <v>13</v>
      </c>
      <c r="F681">
        <v>40.183</v>
      </c>
      <c r="G681">
        <v>-74.12</v>
      </c>
      <c r="H681">
        <v>-5</v>
      </c>
      <c r="I681">
        <v>26</v>
      </c>
      <c r="J681" t="str">
        <f>HYPERLINK("https://climate.onebuilding.org/WMO_Region_4_North_and_Central_America/USA_United_States_of_America/NJ_New_Jersey/USA_NJ_Belmar-Monmouth.Exec.AP.724084_TMY3.zip")</f>
        <v>https://climate.onebuilding.org/WMO_Region_4_North_and_Central_America/USA_United_States_of_America/NJ_New_Jersey/USA_NJ_Belmar-Monmouth.Exec.AP.724084_TMY3.zip</v>
      </c>
    </row>
    <row r="682" spans="1:10" x14ac:dyDescent="0.25">
      <c r="A682" t="s">
        <v>15</v>
      </c>
      <c r="B682" t="s">
        <v>728</v>
      </c>
      <c r="C682" t="s">
        <v>731</v>
      </c>
      <c r="D682">
        <v>724094</v>
      </c>
      <c r="E682" t="s">
        <v>13</v>
      </c>
      <c r="F682">
        <v>40.883000000000003</v>
      </c>
      <c r="G682">
        <v>-74.283000000000001</v>
      </c>
      <c r="H682">
        <v>-5</v>
      </c>
      <c r="I682">
        <v>53</v>
      </c>
      <c r="J682" t="str">
        <f>HYPERLINK("https://climate.onebuilding.org/WMO_Region_4_North_and_Central_America/USA_United_States_of_America/NJ_New_Jersey/USA_NJ_Caldwell-Essex.County.AP.724094_TMY3.zip")</f>
        <v>https://climate.onebuilding.org/WMO_Region_4_North_and_Central_America/USA_United_States_of_America/NJ_New_Jersey/USA_NJ_Caldwell-Essex.County.AP.724094_TMY3.zip</v>
      </c>
    </row>
    <row r="683" spans="1:10" x14ac:dyDescent="0.25">
      <c r="A683" t="s">
        <v>15</v>
      </c>
      <c r="B683" t="s">
        <v>728</v>
      </c>
      <c r="C683" t="s">
        <v>732</v>
      </c>
      <c r="D683">
        <v>745966</v>
      </c>
      <c r="E683" t="s">
        <v>13</v>
      </c>
      <c r="F683">
        <v>39</v>
      </c>
      <c r="G683">
        <v>-74.917000000000002</v>
      </c>
      <c r="H683">
        <v>-5</v>
      </c>
      <c r="I683">
        <v>7</v>
      </c>
      <c r="J683" t="str">
        <f>HYPERLINK("https://climate.onebuilding.org/WMO_Region_4_North_and_Central_America/USA_United_States_of_America/NJ_New_Jersey/USA_NJ_Cape.May.AP.745966_TMY3.zip")</f>
        <v>https://climate.onebuilding.org/WMO_Region_4_North_and_Central_America/USA_United_States_of_America/NJ_New_Jersey/USA_NJ_Cape.May.AP.745966_TMY3.zip</v>
      </c>
    </row>
    <row r="684" spans="1:10" x14ac:dyDescent="0.25">
      <c r="A684" t="s">
        <v>15</v>
      </c>
      <c r="B684" t="s">
        <v>728</v>
      </c>
      <c r="C684" t="s">
        <v>733</v>
      </c>
      <c r="D684">
        <v>724096</v>
      </c>
      <c r="E684" t="s">
        <v>13</v>
      </c>
      <c r="F684">
        <v>40.017000000000003</v>
      </c>
      <c r="G684">
        <v>-74.599999999999994</v>
      </c>
      <c r="H684">
        <v>-5</v>
      </c>
      <c r="I684">
        <v>45</v>
      </c>
      <c r="J684" t="str">
        <f>HYPERLINK("https://climate.onebuilding.org/WMO_Region_4_North_and_Central_America/USA_United_States_of_America/NJ_New_Jersey/USA_NJ_JB.McGuire-Dix-Lakehurst-McGuire.AFB.724096_TMY3.zip")</f>
        <v>https://climate.onebuilding.org/WMO_Region_4_North_and_Central_America/USA_United_States_of_America/NJ_New_Jersey/USA_NJ_JB.McGuire-Dix-Lakehurst-McGuire.AFB.724096_TMY3.zip</v>
      </c>
    </row>
    <row r="685" spans="1:10" x14ac:dyDescent="0.25">
      <c r="A685" t="s">
        <v>15</v>
      </c>
      <c r="B685" t="s">
        <v>728</v>
      </c>
      <c r="C685" t="s">
        <v>734</v>
      </c>
      <c r="D685">
        <v>724075</v>
      </c>
      <c r="E685" t="s">
        <v>13</v>
      </c>
      <c r="F685">
        <v>39.366999999999997</v>
      </c>
      <c r="G685">
        <v>-75.082999999999998</v>
      </c>
      <c r="H685">
        <v>-5</v>
      </c>
      <c r="I685">
        <v>21</v>
      </c>
      <c r="J685" t="str">
        <f>HYPERLINK("https://climate.onebuilding.org/WMO_Region_4_North_and_Central_America/USA_United_States_of_America/NJ_New_Jersey/USA_NJ_Millville.Muni.AP.724075_TMY3.zip")</f>
        <v>https://climate.onebuilding.org/WMO_Region_4_North_and_Central_America/USA_United_States_of_America/NJ_New_Jersey/USA_NJ_Millville.Muni.AP.724075_TMY3.zip</v>
      </c>
    </row>
    <row r="686" spans="1:10" x14ac:dyDescent="0.25">
      <c r="A686" t="s">
        <v>15</v>
      </c>
      <c r="B686" t="s">
        <v>728</v>
      </c>
      <c r="C686" t="s">
        <v>735</v>
      </c>
      <c r="D686">
        <v>725020</v>
      </c>
      <c r="E686" t="s">
        <v>13</v>
      </c>
      <c r="F686">
        <v>40.700000000000003</v>
      </c>
      <c r="G686">
        <v>-74.183000000000007</v>
      </c>
      <c r="H686">
        <v>-5</v>
      </c>
      <c r="I686">
        <v>3</v>
      </c>
      <c r="J686" t="str">
        <f>HYPERLINK("https://climate.onebuilding.org/WMO_Region_4_North_and_Central_America/USA_United_States_of_America/NJ_New_Jersey/USA_NJ_Newark.Liberty.Intl.AP.725020_TMY3.zip")</f>
        <v>https://climate.onebuilding.org/WMO_Region_4_North_and_Central_America/USA_United_States_of_America/NJ_New_Jersey/USA_NJ_Newark.Liberty.Intl.AP.725020_TMY3.zip</v>
      </c>
    </row>
    <row r="687" spans="1:10" x14ac:dyDescent="0.25">
      <c r="A687" t="s">
        <v>15</v>
      </c>
      <c r="B687" t="s">
        <v>728</v>
      </c>
      <c r="C687" t="s">
        <v>736</v>
      </c>
      <c r="D687">
        <v>725025</v>
      </c>
      <c r="E687" t="s">
        <v>13</v>
      </c>
      <c r="F687">
        <v>40.85</v>
      </c>
      <c r="G687">
        <v>-74.066999999999993</v>
      </c>
      <c r="H687">
        <v>-5</v>
      </c>
      <c r="I687">
        <v>3</v>
      </c>
      <c r="J687" t="str">
        <f>HYPERLINK("https://climate.onebuilding.org/WMO_Region_4_North_and_Central_America/USA_United_States_of_America/NJ_New_Jersey/USA_NJ_Teterboro.AP.725025_TMY3.zip")</f>
        <v>https://climate.onebuilding.org/WMO_Region_4_North_and_Central_America/USA_United_States_of_America/NJ_New_Jersey/USA_NJ_Teterboro.AP.725025_TMY3.zip</v>
      </c>
    </row>
    <row r="688" spans="1:10" x14ac:dyDescent="0.25">
      <c r="A688" t="s">
        <v>15</v>
      </c>
      <c r="B688" t="s">
        <v>728</v>
      </c>
      <c r="C688" t="s">
        <v>737</v>
      </c>
      <c r="D688">
        <v>724095</v>
      </c>
      <c r="E688" t="s">
        <v>13</v>
      </c>
      <c r="F688">
        <v>40.283000000000001</v>
      </c>
      <c r="G688">
        <v>-74.816999999999993</v>
      </c>
      <c r="H688">
        <v>-5</v>
      </c>
      <c r="I688">
        <v>65</v>
      </c>
      <c r="J688" t="str">
        <f>HYPERLINK("https://climate.onebuilding.org/WMO_Region_4_North_and_Central_America/USA_United_States_of_America/NJ_New_Jersey/USA_NJ_Trenton-Mercer.AP.724095_TMY3.zip")</f>
        <v>https://climate.onebuilding.org/WMO_Region_4_North_and_Central_America/USA_United_States_of_America/NJ_New_Jersey/USA_NJ_Trenton-Mercer.AP.724095_TMY3.zip</v>
      </c>
    </row>
    <row r="689" spans="1:10" x14ac:dyDescent="0.25">
      <c r="A689" t="s">
        <v>15</v>
      </c>
      <c r="B689" t="s">
        <v>738</v>
      </c>
      <c r="C689" t="s">
        <v>739</v>
      </c>
      <c r="D689">
        <v>723650</v>
      </c>
      <c r="E689" t="s">
        <v>13</v>
      </c>
      <c r="F689">
        <v>35.04</v>
      </c>
      <c r="G689">
        <v>-106.62</v>
      </c>
      <c r="H689">
        <v>-7</v>
      </c>
      <c r="I689">
        <v>1619</v>
      </c>
      <c r="J689" t="str">
        <f>HYPERLINK("https://climate.onebuilding.org/WMO_Region_4_North_and_Central_America/USA_United_States_of_America/NM_New_Mexico/USA_NM_Albuquerque.Intl.Sunport.723650_TMY3.zip")</f>
        <v>https://climate.onebuilding.org/WMO_Region_4_North_and_Central_America/USA_United_States_of_America/NM_New_Mexico/USA_NM_Albuquerque.Intl.Sunport.723650_TMY3.zip</v>
      </c>
    </row>
    <row r="690" spans="1:10" x14ac:dyDescent="0.25">
      <c r="A690" t="s">
        <v>15</v>
      </c>
      <c r="B690" t="s">
        <v>738</v>
      </c>
      <c r="C690" t="s">
        <v>740</v>
      </c>
      <c r="D690">
        <v>722687</v>
      </c>
      <c r="E690" t="s">
        <v>13</v>
      </c>
      <c r="F690">
        <v>32.332999999999998</v>
      </c>
      <c r="G690">
        <v>-104.267</v>
      </c>
      <c r="H690">
        <v>-7</v>
      </c>
      <c r="I690">
        <v>985</v>
      </c>
      <c r="J690" t="str">
        <f>HYPERLINK("https://climate.onebuilding.org/WMO_Region_4_North_and_Central_America/USA_United_States_of_America/NM_New_Mexico/USA_NM_Carlsbad-Cavern.City.Air.Terminal.722687_TMY3.zip")</f>
        <v>https://climate.onebuilding.org/WMO_Region_4_North_and_Central_America/USA_United_States_of_America/NM_New_Mexico/USA_NM_Carlsbad-Cavern.City.Air.Terminal.722687_TMY3.zip</v>
      </c>
    </row>
    <row r="691" spans="1:10" x14ac:dyDescent="0.25">
      <c r="A691" t="s">
        <v>15</v>
      </c>
      <c r="B691" t="s">
        <v>738</v>
      </c>
      <c r="C691" t="s">
        <v>741</v>
      </c>
      <c r="D691">
        <v>723600</v>
      </c>
      <c r="E691" t="s">
        <v>13</v>
      </c>
      <c r="F691">
        <v>36.450000000000003</v>
      </c>
      <c r="G691">
        <v>-103.15</v>
      </c>
      <c r="H691">
        <v>-7</v>
      </c>
      <c r="I691">
        <v>1512</v>
      </c>
      <c r="J691" t="str">
        <f>HYPERLINK("https://climate.onebuilding.org/WMO_Region_4_North_and_Central_America/USA_United_States_of_America/NM_New_Mexico/USA_NM_Clayton.Muni.Airpark.723600_TMY3.zip")</f>
        <v>https://climate.onebuilding.org/WMO_Region_4_North_and_Central_America/USA_United_States_of_America/NM_New_Mexico/USA_NM_Clayton.Muni.Airpark.723600_TMY3.zip</v>
      </c>
    </row>
    <row r="692" spans="1:10" x14ac:dyDescent="0.25">
      <c r="A692" t="s">
        <v>15</v>
      </c>
      <c r="B692" t="s">
        <v>738</v>
      </c>
      <c r="C692" t="s">
        <v>742</v>
      </c>
      <c r="D692">
        <v>722686</v>
      </c>
      <c r="E692" t="s">
        <v>13</v>
      </c>
      <c r="F692">
        <v>34.383000000000003</v>
      </c>
      <c r="G692">
        <v>-103.31699999999999</v>
      </c>
      <c r="H692">
        <v>-7</v>
      </c>
      <c r="I692">
        <v>1309</v>
      </c>
      <c r="J692" t="str">
        <f>HYPERLINK("https://climate.onebuilding.org/WMO_Region_4_North_and_Central_America/USA_United_States_of_America/NM_New_Mexico/USA_NM_Clovis-Cannon.AFB.722686_TMY3.zip")</f>
        <v>https://climate.onebuilding.org/WMO_Region_4_North_and_Central_America/USA_United_States_of_America/NM_New_Mexico/USA_NM_Clovis-Cannon.AFB.722686_TMY3.zip</v>
      </c>
    </row>
    <row r="693" spans="1:10" x14ac:dyDescent="0.25">
      <c r="A693" t="s">
        <v>15</v>
      </c>
      <c r="B693" t="s">
        <v>738</v>
      </c>
      <c r="C693" t="s">
        <v>743</v>
      </c>
      <c r="D693">
        <v>722689</v>
      </c>
      <c r="E693" t="s">
        <v>13</v>
      </c>
      <c r="F693">
        <v>34.433</v>
      </c>
      <c r="G693">
        <v>-103.083</v>
      </c>
      <c r="H693">
        <v>-7</v>
      </c>
      <c r="I693">
        <v>1284</v>
      </c>
      <c r="J693" t="str">
        <f>HYPERLINK("https://climate.onebuilding.org/WMO_Region_4_North_and_Central_America/USA_United_States_of_America/NM_New_Mexico/USA_NM_Clovis.Muni.AP.722689_TMY3.zip")</f>
        <v>https://climate.onebuilding.org/WMO_Region_4_North_and_Central_America/USA_United_States_of_America/NM_New_Mexico/USA_NM_Clovis.Muni.AP.722689_TMY3.zip</v>
      </c>
    </row>
    <row r="694" spans="1:10" x14ac:dyDescent="0.25">
      <c r="A694" t="s">
        <v>15</v>
      </c>
      <c r="B694" t="s">
        <v>738</v>
      </c>
      <c r="C694" t="s">
        <v>744</v>
      </c>
      <c r="D694">
        <v>722725</v>
      </c>
      <c r="E694" t="s">
        <v>13</v>
      </c>
      <c r="F694">
        <v>32.25</v>
      </c>
      <c r="G694">
        <v>-107.717</v>
      </c>
      <c r="H694">
        <v>-7</v>
      </c>
      <c r="I694">
        <v>1348</v>
      </c>
      <c r="J694" t="str">
        <f>HYPERLINK("https://climate.onebuilding.org/WMO_Region_4_North_and_Central_America/USA_United_States_of_America/NM_New_Mexico/USA_NM_Deming.Muni.AP.722725_TMY3.zip")</f>
        <v>https://climate.onebuilding.org/WMO_Region_4_North_and_Central_America/USA_United_States_of_America/NM_New_Mexico/USA_NM_Deming.Muni.AP.722725_TMY3.zip</v>
      </c>
    </row>
    <row r="695" spans="1:10" x14ac:dyDescent="0.25">
      <c r="A695" t="s">
        <v>15</v>
      </c>
      <c r="B695" t="s">
        <v>738</v>
      </c>
      <c r="C695" t="s">
        <v>745</v>
      </c>
      <c r="D695">
        <v>723658</v>
      </c>
      <c r="E695" t="s">
        <v>13</v>
      </c>
      <c r="F695">
        <v>36.75</v>
      </c>
      <c r="G695">
        <v>-108.233</v>
      </c>
      <c r="H695">
        <v>-7</v>
      </c>
      <c r="I695">
        <v>1675</v>
      </c>
      <c r="J695" t="str">
        <f>HYPERLINK("https://climate.onebuilding.org/WMO_Region_4_North_and_Central_America/USA_United_States_of_America/NM_New_Mexico/USA_NM_Farmington-Four.Corners.Rgnl.AP.723658_TMY3.zip")</f>
        <v>https://climate.onebuilding.org/WMO_Region_4_North_and_Central_America/USA_United_States_of_America/NM_New_Mexico/USA_NM_Farmington-Four.Corners.Rgnl.AP.723658_TMY3.zip</v>
      </c>
    </row>
    <row r="696" spans="1:10" x14ac:dyDescent="0.25">
      <c r="A696" t="s">
        <v>15</v>
      </c>
      <c r="B696" t="s">
        <v>738</v>
      </c>
      <c r="C696" t="s">
        <v>746</v>
      </c>
      <c r="D696">
        <v>723627</v>
      </c>
      <c r="E696" t="s">
        <v>13</v>
      </c>
      <c r="F696">
        <v>35.517000000000003</v>
      </c>
      <c r="G696">
        <v>-108.783</v>
      </c>
      <c r="H696">
        <v>-7</v>
      </c>
      <c r="I696">
        <v>1971</v>
      </c>
      <c r="J696" t="str">
        <f>HYPERLINK("https://climate.onebuilding.org/WMO_Region_4_North_and_Central_America/USA_United_States_of_America/NM_New_Mexico/USA_NM_Gallup.Muni.AP.723627_TMY3.zip")</f>
        <v>https://climate.onebuilding.org/WMO_Region_4_North_and_Central_America/USA_United_States_of_America/NM_New_Mexico/USA_NM_Gallup.Muni.AP.723627_TMY3.zip</v>
      </c>
    </row>
    <row r="697" spans="1:10" x14ac:dyDescent="0.25">
      <c r="A697" t="s">
        <v>15</v>
      </c>
      <c r="B697" t="s">
        <v>738</v>
      </c>
      <c r="C697" t="s">
        <v>747</v>
      </c>
      <c r="D697">
        <v>747320</v>
      </c>
      <c r="E697" t="s">
        <v>13</v>
      </c>
      <c r="F697">
        <v>32.85</v>
      </c>
      <c r="G697">
        <v>-106.1</v>
      </c>
      <c r="H697">
        <v>-7</v>
      </c>
      <c r="I697">
        <v>1248</v>
      </c>
      <c r="J697" t="str">
        <f>HYPERLINK("https://climate.onebuilding.org/WMO_Region_4_North_and_Central_America/USA_United_States_of_America/NM_New_Mexico/USA_NM_Alamogordo-Holloman.AFB.747320_TMY3.zip")</f>
        <v>https://climate.onebuilding.org/WMO_Region_4_North_and_Central_America/USA_United_States_of_America/NM_New_Mexico/USA_NM_Alamogordo-Holloman.AFB.747320_TMY3.zip</v>
      </c>
    </row>
    <row r="698" spans="1:10" x14ac:dyDescent="0.25">
      <c r="A698" t="s">
        <v>15</v>
      </c>
      <c r="B698" t="s">
        <v>738</v>
      </c>
      <c r="C698" t="s">
        <v>748</v>
      </c>
      <c r="D698">
        <v>722695</v>
      </c>
      <c r="E698" t="s">
        <v>13</v>
      </c>
      <c r="F698">
        <v>32.283000000000001</v>
      </c>
      <c r="G698">
        <v>-106.917</v>
      </c>
      <c r="H698">
        <v>-7</v>
      </c>
      <c r="I698">
        <v>1393</v>
      </c>
      <c r="J698" t="str">
        <f>HYPERLINK("https://climate.onebuilding.org/WMO_Region_4_North_and_Central_America/USA_United_States_of_America/NM_New_Mexico/USA_NM_Las.Cruces.Intl.AP.722695_TMY3.zip")</f>
        <v>https://climate.onebuilding.org/WMO_Region_4_North_and_Central_America/USA_United_States_of_America/NM_New_Mexico/USA_NM_Las.Cruces.Intl.AP.722695_TMY3.zip</v>
      </c>
    </row>
    <row r="699" spans="1:10" x14ac:dyDescent="0.25">
      <c r="A699" t="s">
        <v>15</v>
      </c>
      <c r="B699" t="s">
        <v>738</v>
      </c>
      <c r="C699" t="s">
        <v>749</v>
      </c>
      <c r="D699">
        <v>723677</v>
      </c>
      <c r="E699" t="s">
        <v>13</v>
      </c>
      <c r="F699">
        <v>35.65</v>
      </c>
      <c r="G699">
        <v>-105.15</v>
      </c>
      <c r="H699">
        <v>-7</v>
      </c>
      <c r="I699">
        <v>2093</v>
      </c>
      <c r="J699" t="str">
        <f>HYPERLINK("https://climate.onebuilding.org/WMO_Region_4_North_and_Central_America/USA_United_States_of_America/NM_New_Mexico/USA_NM_Las.Vegas.Muni.AP.723677_TMY3.zip")</f>
        <v>https://climate.onebuilding.org/WMO_Region_4_North_and_Central_America/USA_United_States_of_America/NM_New_Mexico/USA_NM_Las.Vegas.Muni.AP.723677_TMY3.zip</v>
      </c>
    </row>
    <row r="700" spans="1:10" x14ac:dyDescent="0.25">
      <c r="A700" t="s">
        <v>15</v>
      </c>
      <c r="B700" t="s">
        <v>738</v>
      </c>
      <c r="C700" t="s">
        <v>750</v>
      </c>
      <c r="D700">
        <v>722680</v>
      </c>
      <c r="E700" t="s">
        <v>13</v>
      </c>
      <c r="F700">
        <v>33.299999999999997</v>
      </c>
      <c r="G700">
        <v>-104.533</v>
      </c>
      <c r="H700">
        <v>-7</v>
      </c>
      <c r="I700">
        <v>1112</v>
      </c>
      <c r="J700" t="str">
        <f>HYPERLINK("https://climate.onebuilding.org/WMO_Region_4_North_and_Central_America/USA_United_States_of_America/NM_New_Mexico/USA_NM_Roswell.Industrial.Air.Center.722680_TMY3.zip")</f>
        <v>https://climate.onebuilding.org/WMO_Region_4_North_and_Central_America/USA_United_States_of_America/NM_New_Mexico/USA_NM_Roswell.Industrial.Air.Center.722680_TMY3.zip</v>
      </c>
    </row>
    <row r="701" spans="1:10" x14ac:dyDescent="0.25">
      <c r="A701" t="s">
        <v>15</v>
      </c>
      <c r="B701" t="s">
        <v>738</v>
      </c>
      <c r="C701" t="s">
        <v>751</v>
      </c>
      <c r="D701">
        <v>722683</v>
      </c>
      <c r="E701" t="s">
        <v>13</v>
      </c>
      <c r="F701">
        <v>33.466999999999999</v>
      </c>
      <c r="G701">
        <v>-105.533</v>
      </c>
      <c r="H701">
        <v>-7</v>
      </c>
      <c r="I701">
        <v>2078</v>
      </c>
      <c r="J701" t="str">
        <f>HYPERLINK("https://climate.onebuilding.org/WMO_Region_4_North_and_Central_America/USA_United_States_of_America/NM_New_Mexico/USA_NM_Ruidoso-Sierra.Blanca.Rgnl.AP.722683_TMY3.zip")</f>
        <v>https://climate.onebuilding.org/WMO_Region_4_North_and_Central_America/USA_United_States_of_America/NM_New_Mexico/USA_NM_Ruidoso-Sierra.Blanca.Rgnl.AP.722683_TMY3.zip</v>
      </c>
    </row>
    <row r="702" spans="1:10" x14ac:dyDescent="0.25">
      <c r="A702" t="s">
        <v>15</v>
      </c>
      <c r="B702" t="s">
        <v>738</v>
      </c>
      <c r="C702" t="s">
        <v>752</v>
      </c>
      <c r="D702">
        <v>723656</v>
      </c>
      <c r="E702" t="s">
        <v>13</v>
      </c>
      <c r="F702">
        <v>35.616999999999997</v>
      </c>
      <c r="G702">
        <v>-106.083</v>
      </c>
      <c r="H702">
        <v>-7</v>
      </c>
      <c r="I702">
        <v>1934</v>
      </c>
      <c r="J702" t="str">
        <f>HYPERLINK("https://climate.onebuilding.org/WMO_Region_4_North_and_Central_America/USA_United_States_of_America/NM_New_Mexico/USA_NM_Santa.Fe.AP.723656_TMY3.zip")</f>
        <v>https://climate.onebuilding.org/WMO_Region_4_North_and_Central_America/USA_United_States_of_America/NM_New_Mexico/USA_NM_Santa.Fe.AP.723656_TMY3.zip</v>
      </c>
    </row>
    <row r="703" spans="1:10" x14ac:dyDescent="0.25">
      <c r="A703" t="s">
        <v>15</v>
      </c>
      <c r="B703" t="s">
        <v>738</v>
      </c>
      <c r="C703" t="s">
        <v>753</v>
      </c>
      <c r="D703">
        <v>723663</v>
      </c>
      <c r="E703" t="s">
        <v>13</v>
      </c>
      <c r="F703">
        <v>36.450000000000003</v>
      </c>
      <c r="G703">
        <v>-105.667</v>
      </c>
      <c r="H703">
        <v>-7</v>
      </c>
      <c r="I703">
        <v>2161</v>
      </c>
      <c r="J703" t="str">
        <f>HYPERLINK("https://climate.onebuilding.org/WMO_Region_4_North_and_Central_America/USA_United_States_of_America/NM_New_Mexico/USA_NM_Taos.Rgnl.AP.723663_TMY3.zip")</f>
        <v>https://climate.onebuilding.org/WMO_Region_4_North_and_Central_America/USA_United_States_of_America/NM_New_Mexico/USA_NM_Taos.Rgnl.AP.723663_TMY3.zip</v>
      </c>
    </row>
    <row r="704" spans="1:10" x14ac:dyDescent="0.25">
      <c r="A704" t="s">
        <v>15</v>
      </c>
      <c r="B704" t="s">
        <v>738</v>
      </c>
      <c r="C704" t="s">
        <v>754</v>
      </c>
      <c r="D704">
        <v>722710</v>
      </c>
      <c r="E704" t="s">
        <v>13</v>
      </c>
      <c r="F704">
        <v>33.232999999999997</v>
      </c>
      <c r="G704">
        <v>-107.267</v>
      </c>
      <c r="H704">
        <v>-7</v>
      </c>
      <c r="I704">
        <v>1478</v>
      </c>
      <c r="J704" t="str">
        <f>HYPERLINK("https://climate.onebuilding.org/WMO_Region_4_North_and_Central_America/USA_United_States_of_America/NM_New_Mexico/USA_NM_Truth.or.Consequences.Muni.AP.722710_TMY3.zip")</f>
        <v>https://climate.onebuilding.org/WMO_Region_4_North_and_Central_America/USA_United_States_of_America/NM_New_Mexico/USA_NM_Truth.or.Consequences.Muni.AP.722710_TMY3.zip</v>
      </c>
    </row>
    <row r="705" spans="1:10" x14ac:dyDescent="0.25">
      <c r="A705" t="s">
        <v>15</v>
      </c>
      <c r="B705" t="s">
        <v>738</v>
      </c>
      <c r="C705" t="s">
        <v>755</v>
      </c>
      <c r="D705">
        <v>723676</v>
      </c>
      <c r="E705" t="s">
        <v>13</v>
      </c>
      <c r="F705">
        <v>35.183</v>
      </c>
      <c r="G705">
        <v>-103.6</v>
      </c>
      <c r="H705">
        <v>-7</v>
      </c>
      <c r="I705">
        <v>1235</v>
      </c>
      <c r="J705" t="str">
        <f>HYPERLINK("https://climate.onebuilding.org/WMO_Region_4_North_and_Central_America/USA_United_States_of_America/NM_New_Mexico/USA_NM_Tucumcari.Muni.AP.723676_TMY3.zip")</f>
        <v>https://climate.onebuilding.org/WMO_Region_4_North_and_Central_America/USA_United_States_of_America/NM_New_Mexico/USA_NM_Tucumcari.Muni.AP.723676_TMY3.zip</v>
      </c>
    </row>
    <row r="706" spans="1:10" x14ac:dyDescent="0.25">
      <c r="A706" t="s">
        <v>15</v>
      </c>
      <c r="B706" t="s">
        <v>756</v>
      </c>
      <c r="C706" t="s">
        <v>757</v>
      </c>
      <c r="D706">
        <v>725825</v>
      </c>
      <c r="E706" t="s">
        <v>13</v>
      </c>
      <c r="F706">
        <v>40.832999999999998</v>
      </c>
      <c r="G706">
        <v>-115.8</v>
      </c>
      <c r="H706">
        <v>-8</v>
      </c>
      <c r="I706">
        <v>1548</v>
      </c>
      <c r="J706" t="str">
        <f>HYPERLINK("https://climate.onebuilding.org/WMO_Region_4_North_and_Central_America/USA_United_States_of_America/NV_Nevada/USA_NV_Elko.Rgnl.AP-Harris.Field.725825_TMY3.zip")</f>
        <v>https://climate.onebuilding.org/WMO_Region_4_North_and_Central_America/USA_United_States_of_America/NV_Nevada/USA_NV_Elko.Rgnl.AP-Harris.Field.725825_TMY3.zip</v>
      </c>
    </row>
    <row r="707" spans="1:10" x14ac:dyDescent="0.25">
      <c r="A707" t="s">
        <v>15</v>
      </c>
      <c r="B707" t="s">
        <v>756</v>
      </c>
      <c r="C707" t="s">
        <v>758</v>
      </c>
      <c r="D707">
        <v>724860</v>
      </c>
      <c r="E707" t="s">
        <v>13</v>
      </c>
      <c r="F707">
        <v>39.299999999999997</v>
      </c>
      <c r="G707">
        <v>-114.85</v>
      </c>
      <c r="H707">
        <v>-8</v>
      </c>
      <c r="I707">
        <v>1909</v>
      </c>
      <c r="J707" t="str">
        <f>HYPERLINK("https://climate.onebuilding.org/WMO_Region_4_North_and_Central_America/USA_United_States_of_America/NV_Nevada/USA_NV_Ely.AP-Yelland.Field.724860_TMY3.zip")</f>
        <v>https://climate.onebuilding.org/WMO_Region_4_North_and_Central_America/USA_United_States_of_America/NV_Nevada/USA_NV_Ely.AP-Yelland.Field.724860_TMY3.zip</v>
      </c>
    </row>
    <row r="708" spans="1:10" x14ac:dyDescent="0.25">
      <c r="A708" t="s">
        <v>15</v>
      </c>
      <c r="B708" t="s">
        <v>756</v>
      </c>
      <c r="C708" t="s">
        <v>759</v>
      </c>
      <c r="D708">
        <v>724885</v>
      </c>
      <c r="E708" t="s">
        <v>13</v>
      </c>
      <c r="F708">
        <v>39.417000000000002</v>
      </c>
      <c r="G708">
        <v>-118.717</v>
      </c>
      <c r="H708">
        <v>-8</v>
      </c>
      <c r="I708">
        <v>1199</v>
      </c>
      <c r="J708" t="str">
        <f>HYPERLINK("https://climate.onebuilding.org/WMO_Region_4_North_and_Central_America/USA_United_States_of_America/NV_Nevada/USA_NV_NAS.Fallon-Van.Voorhis.Field.724885_TMY3.zip")</f>
        <v>https://climate.onebuilding.org/WMO_Region_4_North_and_Central_America/USA_United_States_of_America/NV_Nevada/USA_NV_NAS.Fallon-Van.Voorhis.Field.724885_TMY3.zip</v>
      </c>
    </row>
    <row r="709" spans="1:10" x14ac:dyDescent="0.25">
      <c r="A709" t="s">
        <v>15</v>
      </c>
      <c r="B709" t="s">
        <v>756</v>
      </c>
      <c r="C709" t="s">
        <v>760</v>
      </c>
      <c r="D709">
        <v>723860</v>
      </c>
      <c r="E709" t="s">
        <v>13</v>
      </c>
      <c r="F709">
        <v>36.082999999999998</v>
      </c>
      <c r="G709">
        <v>-115.15</v>
      </c>
      <c r="H709">
        <v>-8</v>
      </c>
      <c r="I709">
        <v>648</v>
      </c>
      <c r="J709" t="str">
        <f>HYPERLINK("https://climate.onebuilding.org/WMO_Region_4_North_and_Central_America/USA_United_States_of_America/NV_Nevada/USA_NV_Las.Vegas-McCarran.Intl.AP.723860_TMY3.zip")</f>
        <v>https://climate.onebuilding.org/WMO_Region_4_North_and_Central_America/USA_United_States_of_America/NV_Nevada/USA_NV_Las.Vegas-McCarran.Intl.AP.723860_TMY3.zip</v>
      </c>
    </row>
    <row r="710" spans="1:10" x14ac:dyDescent="0.25">
      <c r="A710" t="s">
        <v>15</v>
      </c>
      <c r="B710" t="s">
        <v>756</v>
      </c>
      <c r="C710" t="s">
        <v>761</v>
      </c>
      <c r="D710">
        <v>725805</v>
      </c>
      <c r="E710" t="s">
        <v>13</v>
      </c>
      <c r="F710">
        <v>40.067</v>
      </c>
      <c r="G710">
        <v>-118.55</v>
      </c>
      <c r="H710">
        <v>-8</v>
      </c>
      <c r="I710">
        <v>1189</v>
      </c>
      <c r="J710" t="str">
        <f>HYPERLINK("https://climate.onebuilding.org/WMO_Region_4_North_and_Central_America/USA_United_States_of_America/NV_Nevada/USA_NV_Lovelock-Derby.Field.725805_TMY3.zip")</f>
        <v>https://climate.onebuilding.org/WMO_Region_4_North_and_Central_America/USA_United_States_of_America/NV_Nevada/USA_NV_Lovelock-Derby.Field.725805_TMY3.zip</v>
      </c>
    </row>
    <row r="711" spans="1:10" x14ac:dyDescent="0.25">
      <c r="A711" t="s">
        <v>15</v>
      </c>
      <c r="B711" t="s">
        <v>756</v>
      </c>
      <c r="C711" t="s">
        <v>762</v>
      </c>
      <c r="D711">
        <v>723870</v>
      </c>
      <c r="E711" t="s">
        <v>13</v>
      </c>
      <c r="F711">
        <v>36.630000000000003</v>
      </c>
      <c r="G711">
        <v>-116.02</v>
      </c>
      <c r="H711">
        <v>-8</v>
      </c>
      <c r="I711">
        <v>935</v>
      </c>
      <c r="J711" t="str">
        <f>HYPERLINK("https://climate.onebuilding.org/WMO_Region_4_North_and_Central_America/USA_United_States_of_America/NV_Nevada/USA_NV_Mercury-Desert.Rock.AP-SURFRAD.723870_TMY3.zip")</f>
        <v>https://climate.onebuilding.org/WMO_Region_4_North_and_Central_America/USA_United_States_of_America/NV_Nevada/USA_NV_Mercury-Desert.Rock.AP-SURFRAD.723870_TMY3.zip</v>
      </c>
    </row>
    <row r="712" spans="1:10" x14ac:dyDescent="0.25">
      <c r="A712" t="s">
        <v>15</v>
      </c>
      <c r="B712" t="s">
        <v>756</v>
      </c>
      <c r="C712" t="s">
        <v>763</v>
      </c>
      <c r="D712">
        <v>723865</v>
      </c>
      <c r="E712" t="s">
        <v>13</v>
      </c>
      <c r="F712">
        <v>36.25</v>
      </c>
      <c r="G712">
        <v>-115.033</v>
      </c>
      <c r="H712">
        <v>-8</v>
      </c>
      <c r="I712">
        <v>573</v>
      </c>
      <c r="J712" t="str">
        <f>HYPERLINK("https://climate.onebuilding.org/WMO_Region_4_North_and_Central_America/USA_United_States_of_America/NV_Nevada/USA_NV_Las.Vegas-Nellis.AFB.723865_TMY3.zip")</f>
        <v>https://climate.onebuilding.org/WMO_Region_4_North_and_Central_America/USA_United_States_of_America/NV_Nevada/USA_NV_Las.Vegas-Nellis.AFB.723865_TMY3.zip</v>
      </c>
    </row>
    <row r="713" spans="1:10" x14ac:dyDescent="0.25">
      <c r="A713" t="s">
        <v>15</v>
      </c>
      <c r="B713" t="s">
        <v>756</v>
      </c>
      <c r="C713" t="s">
        <v>764</v>
      </c>
      <c r="D713">
        <v>724880</v>
      </c>
      <c r="E713" t="s">
        <v>13</v>
      </c>
      <c r="F713">
        <v>39.482999999999997</v>
      </c>
      <c r="G713">
        <v>-119.767</v>
      </c>
      <c r="H713">
        <v>-8</v>
      </c>
      <c r="I713">
        <v>1342</v>
      </c>
      <c r="J713" t="str">
        <f>HYPERLINK("https://climate.onebuilding.org/WMO_Region_4_North_and_Central_America/USA_United_States_of_America/NV_Nevada/USA_NV_Reno-Tahoe.Intl.AP.724880_TMY3.zip")</f>
        <v>https://climate.onebuilding.org/WMO_Region_4_North_and_Central_America/USA_United_States_of_America/NV_Nevada/USA_NV_Reno-Tahoe.Intl.AP.724880_TMY3.zip</v>
      </c>
    </row>
    <row r="714" spans="1:10" x14ac:dyDescent="0.25">
      <c r="A714" t="s">
        <v>15</v>
      </c>
      <c r="B714" t="s">
        <v>756</v>
      </c>
      <c r="C714" t="s">
        <v>765</v>
      </c>
      <c r="D714">
        <v>724855</v>
      </c>
      <c r="E714" t="s">
        <v>13</v>
      </c>
      <c r="F714">
        <v>38.067</v>
      </c>
      <c r="G714">
        <v>-117.083</v>
      </c>
      <c r="H714">
        <v>-8</v>
      </c>
      <c r="I714">
        <v>1655</v>
      </c>
      <c r="J714" t="str">
        <f>HYPERLINK("https://climate.onebuilding.org/WMO_Region_4_North_and_Central_America/USA_United_States_of_America/NV_Nevada/USA_NV_Tonopah.AP.724855_TMY3.zip")</f>
        <v>https://climate.onebuilding.org/WMO_Region_4_North_and_Central_America/USA_United_States_of_America/NV_Nevada/USA_NV_Tonopah.AP.724855_TMY3.zip</v>
      </c>
    </row>
    <row r="715" spans="1:10" x14ac:dyDescent="0.25">
      <c r="A715" t="s">
        <v>15</v>
      </c>
      <c r="B715" t="s">
        <v>756</v>
      </c>
      <c r="C715" t="s">
        <v>766</v>
      </c>
      <c r="D715">
        <v>725830</v>
      </c>
      <c r="E715" t="s">
        <v>13</v>
      </c>
      <c r="F715">
        <v>40.9</v>
      </c>
      <c r="G715">
        <v>-117.8</v>
      </c>
      <c r="H715">
        <v>-8</v>
      </c>
      <c r="I715">
        <v>1310</v>
      </c>
      <c r="J715" t="str">
        <f>HYPERLINK("https://climate.onebuilding.org/WMO_Region_4_North_and_Central_America/USA_United_States_of_America/NV_Nevada/USA_NV_Winnemucca.Muni.AP.725830_TMY3.zip")</f>
        <v>https://climate.onebuilding.org/WMO_Region_4_North_and_Central_America/USA_United_States_of_America/NV_Nevada/USA_NV_Winnemucca.Muni.AP.725830_TMY3.zip</v>
      </c>
    </row>
    <row r="716" spans="1:10" x14ac:dyDescent="0.25">
      <c r="A716" t="s">
        <v>15</v>
      </c>
      <c r="B716" t="s">
        <v>767</v>
      </c>
      <c r="C716" t="s">
        <v>768</v>
      </c>
      <c r="D716">
        <v>725180</v>
      </c>
      <c r="E716" t="s">
        <v>13</v>
      </c>
      <c r="F716">
        <v>42.75</v>
      </c>
      <c r="G716">
        <v>-73.8</v>
      </c>
      <c r="H716">
        <v>-5</v>
      </c>
      <c r="I716">
        <v>84</v>
      </c>
      <c r="J716" t="str">
        <f>HYPERLINK("https://climate.onebuilding.org/WMO_Region_4_North_and_Central_America/USA_United_States_of_America/NY_New_York/USA_NY_Albany.Intl.AP.725180_TMY3.zip")</f>
        <v>https://climate.onebuilding.org/WMO_Region_4_North_and_Central_America/USA_United_States_of_America/NY_New_York/USA_NY_Albany.Intl.AP.725180_TMY3.zip</v>
      </c>
    </row>
    <row r="717" spans="1:10" x14ac:dyDescent="0.25">
      <c r="A717" t="s">
        <v>15</v>
      </c>
      <c r="B717" t="s">
        <v>767</v>
      </c>
      <c r="C717" t="s">
        <v>769</v>
      </c>
      <c r="D717">
        <v>725150</v>
      </c>
      <c r="E717" t="s">
        <v>13</v>
      </c>
      <c r="F717">
        <v>42.2</v>
      </c>
      <c r="G717">
        <v>-75.983000000000004</v>
      </c>
      <c r="H717">
        <v>-5</v>
      </c>
      <c r="I717">
        <v>488</v>
      </c>
      <c r="J717" t="str">
        <f>HYPERLINK("https://climate.onebuilding.org/WMO_Region_4_North_and_Central_America/USA_United_States_of_America/NY_New_York/USA_NY_Binghamton-Greater.Binghamton.AP-Link.Field.725150_TMY3.zip")</f>
        <v>https://climate.onebuilding.org/WMO_Region_4_North_and_Central_America/USA_United_States_of_America/NY_New_York/USA_NY_Binghamton-Greater.Binghamton.AP-Link.Field.725150_TMY3.zip</v>
      </c>
    </row>
    <row r="718" spans="1:10" x14ac:dyDescent="0.25">
      <c r="A718" t="s">
        <v>15</v>
      </c>
      <c r="B718" t="s">
        <v>767</v>
      </c>
      <c r="C718" t="s">
        <v>770</v>
      </c>
      <c r="D718">
        <v>725280</v>
      </c>
      <c r="E718" t="s">
        <v>13</v>
      </c>
      <c r="F718">
        <v>42.933</v>
      </c>
      <c r="G718">
        <v>-78.733000000000004</v>
      </c>
      <c r="H718">
        <v>-5</v>
      </c>
      <c r="I718">
        <v>215</v>
      </c>
      <c r="J718" t="str">
        <f>HYPERLINK("https://climate.onebuilding.org/WMO_Region_4_North_and_Central_America/USA_United_States_of_America/NY_New_York/USA_NY_Buffalo.Niagara.Intl.AP.725280_TMY3.zip")</f>
        <v>https://climate.onebuilding.org/WMO_Region_4_North_and_Central_America/USA_United_States_of_America/NY_New_York/USA_NY_Buffalo.Niagara.Intl.AP.725280_TMY3.zip</v>
      </c>
    </row>
    <row r="719" spans="1:10" x14ac:dyDescent="0.25">
      <c r="A719" t="s">
        <v>15</v>
      </c>
      <c r="B719" t="s">
        <v>767</v>
      </c>
      <c r="C719" t="s">
        <v>771</v>
      </c>
      <c r="D719">
        <v>725156</v>
      </c>
      <c r="E719" t="s">
        <v>13</v>
      </c>
      <c r="F719">
        <v>42.167000000000002</v>
      </c>
      <c r="G719">
        <v>-76.900000000000006</v>
      </c>
      <c r="H719">
        <v>-5</v>
      </c>
      <c r="I719">
        <v>291</v>
      </c>
      <c r="J719" t="str">
        <f>HYPERLINK("https://climate.onebuilding.org/WMO_Region_4_North_and_Central_America/USA_United_States_of_America/NY_New_York/USA_NY_Elmira-Corning.Rgnl.AP.725156_TMY3.zip")</f>
        <v>https://climate.onebuilding.org/WMO_Region_4_North_and_Central_America/USA_United_States_of_America/NY_New_York/USA_NY_Elmira-Corning.Rgnl.AP.725156_TMY3.zip</v>
      </c>
    </row>
    <row r="720" spans="1:10" x14ac:dyDescent="0.25">
      <c r="A720" t="s">
        <v>15</v>
      </c>
      <c r="B720" t="s">
        <v>767</v>
      </c>
      <c r="C720" t="s">
        <v>772</v>
      </c>
      <c r="D720">
        <v>743700</v>
      </c>
      <c r="E720" t="s">
        <v>13</v>
      </c>
      <c r="F720">
        <v>44.05</v>
      </c>
      <c r="G720">
        <v>-75.716999999999999</v>
      </c>
      <c r="H720">
        <v>-5</v>
      </c>
      <c r="I720">
        <v>211</v>
      </c>
      <c r="J720" t="str">
        <f>HYPERLINK("https://climate.onebuilding.org/WMO_Region_4_North_and_Central_America/USA_United_States_of_America/NY_New_York/USA_NY_Watertown-Fort.Drum-Wheeler-Sack.AAF.743700_TMY3.zip")</f>
        <v>https://climate.onebuilding.org/WMO_Region_4_North_and_Central_America/USA_United_States_of_America/NY_New_York/USA_NY_Watertown-Fort.Drum-Wheeler-Sack.AAF.743700_TMY3.zip</v>
      </c>
    </row>
    <row r="721" spans="1:10" x14ac:dyDescent="0.25">
      <c r="A721" t="s">
        <v>15</v>
      </c>
      <c r="B721" t="s">
        <v>767</v>
      </c>
      <c r="C721" t="s">
        <v>773</v>
      </c>
      <c r="D721">
        <v>725220</v>
      </c>
      <c r="E721" t="s">
        <v>13</v>
      </c>
      <c r="F721">
        <v>43.35</v>
      </c>
      <c r="G721">
        <v>-73.617000000000004</v>
      </c>
      <c r="H721">
        <v>-5</v>
      </c>
      <c r="I721">
        <v>98</v>
      </c>
      <c r="J721" t="str">
        <f>HYPERLINK("https://climate.onebuilding.org/WMO_Region_4_North_and_Central_America/USA_United_States_of_America/NY_New_York/USA_NY_Glens.Falls-Bennett.Meml.AP.725220_TMY3.zip")</f>
        <v>https://climate.onebuilding.org/WMO_Region_4_North_and_Central_America/USA_United_States_of_America/NY_New_York/USA_NY_Glens.Falls-Bennett.Meml.AP.725220_TMY3.zip</v>
      </c>
    </row>
    <row r="722" spans="1:10" x14ac:dyDescent="0.25">
      <c r="A722" t="s">
        <v>15</v>
      </c>
      <c r="B722" t="s">
        <v>767</v>
      </c>
      <c r="C722" t="s">
        <v>774</v>
      </c>
      <c r="D722">
        <v>725050</v>
      </c>
      <c r="E722" t="s">
        <v>13</v>
      </c>
      <c r="F722">
        <v>40.79</v>
      </c>
      <c r="G722">
        <v>-73.099999999999994</v>
      </c>
      <c r="H722">
        <v>-5</v>
      </c>
      <c r="I722">
        <v>26</v>
      </c>
      <c r="J722" t="str">
        <f>HYPERLINK("https://climate.onebuilding.org/WMO_Region_4_North_and_Central_America/USA_United_States_of_America/NY_New_York/USA_NY_Islip-Long.Island.MacArthur.AP.725050_TMY3.zip")</f>
        <v>https://climate.onebuilding.org/WMO_Region_4_North_and_Central_America/USA_United_States_of_America/NY_New_York/USA_NY_Islip-Long.Island.MacArthur.AP.725050_TMY3.zip</v>
      </c>
    </row>
    <row r="723" spans="1:10" x14ac:dyDescent="0.25">
      <c r="A723" t="s">
        <v>15</v>
      </c>
      <c r="B723" t="s">
        <v>767</v>
      </c>
      <c r="C723" t="s">
        <v>775</v>
      </c>
      <c r="D723">
        <v>725235</v>
      </c>
      <c r="E723" t="s">
        <v>13</v>
      </c>
      <c r="F723">
        <v>42.15</v>
      </c>
      <c r="G723">
        <v>-79.266999999999996</v>
      </c>
      <c r="H723">
        <v>-5</v>
      </c>
      <c r="I723">
        <v>525</v>
      </c>
      <c r="J723" t="str">
        <f>HYPERLINK("https://climate.onebuilding.org/WMO_Region_4_North_and_Central_America/USA_United_States_of_America/NY_New_York/USA_NY_Chautauqua.County-Jamestown.AP-Jackson.Field.725235_TMY3.zip")</f>
        <v>https://climate.onebuilding.org/WMO_Region_4_North_and_Central_America/USA_United_States_of_America/NY_New_York/USA_NY_Chautauqua.County-Jamestown.AP-Jackson.Field.725235_TMY3.zip</v>
      </c>
    </row>
    <row r="724" spans="1:10" x14ac:dyDescent="0.25">
      <c r="A724" t="s">
        <v>15</v>
      </c>
      <c r="B724" t="s">
        <v>767</v>
      </c>
      <c r="C724" t="s">
        <v>776</v>
      </c>
      <c r="D724">
        <v>726223</v>
      </c>
      <c r="E724" t="s">
        <v>13</v>
      </c>
      <c r="F724">
        <v>44.933</v>
      </c>
      <c r="G724">
        <v>-74.849999999999994</v>
      </c>
      <c r="H724">
        <v>-5</v>
      </c>
      <c r="I724">
        <v>65</v>
      </c>
      <c r="J724" t="str">
        <f>HYPERLINK("https://climate.onebuilding.org/WMO_Region_4_North_and_Central_America/USA_United_States_of_America/NY_New_York/USA_NY_Massena.Intl.AP-Richards.Field.726223_TMY3.zip")</f>
        <v>https://climate.onebuilding.org/WMO_Region_4_North_and_Central_America/USA_United_States_of_America/NY_New_York/USA_NY_Massena.Intl.AP-Richards.Field.726223_TMY3.zip</v>
      </c>
    </row>
    <row r="725" spans="1:10" x14ac:dyDescent="0.25">
      <c r="A725" t="s">
        <v>15</v>
      </c>
      <c r="B725" t="s">
        <v>767</v>
      </c>
      <c r="C725" t="s">
        <v>777</v>
      </c>
      <c r="D725">
        <v>725145</v>
      </c>
      <c r="E725" t="s">
        <v>13</v>
      </c>
      <c r="F725">
        <v>41.7</v>
      </c>
      <c r="G725">
        <v>-74.8</v>
      </c>
      <c r="H725">
        <v>-5</v>
      </c>
      <c r="I725">
        <v>428</v>
      </c>
      <c r="J725" t="str">
        <f>HYPERLINK("https://climate.onebuilding.org/WMO_Region_4_North_and_Central_America/USA_United_States_of_America/NY_New_York/USA_NY_Monticello-Sullivan.County.Intl.AP.725145_TMY3.zip")</f>
        <v>https://climate.onebuilding.org/WMO_Region_4_North_and_Central_America/USA_United_States_of_America/NY_New_York/USA_NY_Monticello-Sullivan.County.Intl.AP.725145_TMY3.zip</v>
      </c>
    </row>
    <row r="726" spans="1:10" x14ac:dyDescent="0.25">
      <c r="A726" t="s">
        <v>15</v>
      </c>
      <c r="B726" t="s">
        <v>767</v>
      </c>
      <c r="C726" t="s">
        <v>778</v>
      </c>
      <c r="D726">
        <v>725053</v>
      </c>
      <c r="E726" t="s">
        <v>13</v>
      </c>
      <c r="F726">
        <v>40.779299999999999</v>
      </c>
      <c r="G726">
        <v>-73.969099999999997</v>
      </c>
      <c r="H726">
        <v>-5</v>
      </c>
      <c r="I726">
        <v>40</v>
      </c>
      <c r="J726" t="str">
        <f>HYPERLINK("https://climate.onebuilding.org/WMO_Region_4_North_and_Central_America/USA_United_States_of_America/NY_New_York/USA_NY_New.York-Central.Park.Observatory-Belvedere.Castle.725053_TMY3.zip")</f>
        <v>https://climate.onebuilding.org/WMO_Region_4_North_and_Central_America/USA_United_States_of_America/NY_New_York/USA_NY_New.York-Central.Park.Observatory-Belvedere.Castle.725053_TMY3.zip</v>
      </c>
    </row>
    <row r="727" spans="1:10" x14ac:dyDescent="0.25">
      <c r="A727" t="s">
        <v>15</v>
      </c>
      <c r="B727" t="s">
        <v>767</v>
      </c>
      <c r="C727" t="s">
        <v>779</v>
      </c>
      <c r="D727">
        <v>744860</v>
      </c>
      <c r="E727" t="s">
        <v>13</v>
      </c>
      <c r="F727">
        <v>40.65</v>
      </c>
      <c r="G727">
        <v>-73.8</v>
      </c>
      <c r="H727">
        <v>-5</v>
      </c>
      <c r="I727">
        <v>5</v>
      </c>
      <c r="J727" t="str">
        <f>HYPERLINK("https://climate.onebuilding.org/WMO_Region_4_North_and_Central_America/USA_United_States_of_America/NY_New_York/USA_NY_New.York-Kennedy.Intl.AP.744860_TMY3.zip")</f>
        <v>https://climate.onebuilding.org/WMO_Region_4_North_and_Central_America/USA_United_States_of_America/NY_New_York/USA_NY_New.York-Kennedy.Intl.AP.744860_TMY3.zip</v>
      </c>
    </row>
    <row r="728" spans="1:10" x14ac:dyDescent="0.25">
      <c r="A728" t="s">
        <v>15</v>
      </c>
      <c r="B728" t="s">
        <v>767</v>
      </c>
      <c r="C728" t="s">
        <v>780</v>
      </c>
      <c r="D728">
        <v>725030</v>
      </c>
      <c r="E728" t="s">
        <v>13</v>
      </c>
      <c r="F728">
        <v>40.783000000000001</v>
      </c>
      <c r="G728">
        <v>-73.882999999999996</v>
      </c>
      <c r="H728">
        <v>-5</v>
      </c>
      <c r="I728">
        <v>3</v>
      </c>
      <c r="J728" t="str">
        <f>HYPERLINK("https://climate.onebuilding.org/WMO_Region_4_North_and_Central_America/USA_United_States_of_America/NY_New_York/USA_NY_New.York-LaGuardia.AP.725030_TMY3.zip")</f>
        <v>https://climate.onebuilding.org/WMO_Region_4_North_and_Central_America/USA_United_States_of_America/NY_New_York/USA_NY_New.York-LaGuardia.AP.725030_TMY3.zip</v>
      </c>
    </row>
    <row r="729" spans="1:10" x14ac:dyDescent="0.25">
      <c r="A729" t="s">
        <v>15</v>
      </c>
      <c r="B729" t="s">
        <v>767</v>
      </c>
      <c r="C729" t="s">
        <v>781</v>
      </c>
      <c r="D729">
        <v>725038</v>
      </c>
      <c r="E729" t="s">
        <v>13</v>
      </c>
      <c r="F729">
        <v>41.5</v>
      </c>
      <c r="G729">
        <v>-74.099999999999994</v>
      </c>
      <c r="H729">
        <v>-5</v>
      </c>
      <c r="I729">
        <v>177</v>
      </c>
      <c r="J729" t="str">
        <f>HYPERLINK("https://climate.onebuilding.org/WMO_Region_4_North_and_Central_America/USA_United_States_of_America/NY_New_York/USA_NY_Newburgh-Stewart.Intl.AP.725038_TMY3.zip")</f>
        <v>https://climate.onebuilding.org/WMO_Region_4_North_and_Central_America/USA_United_States_of_America/NY_New_York/USA_NY_Newburgh-Stewart.Intl.AP.725038_TMY3.zip</v>
      </c>
    </row>
    <row r="730" spans="1:10" x14ac:dyDescent="0.25">
      <c r="A730" t="s">
        <v>15</v>
      </c>
      <c r="B730" t="s">
        <v>767</v>
      </c>
      <c r="C730" t="s">
        <v>782</v>
      </c>
      <c r="D730">
        <v>725287</v>
      </c>
      <c r="E730" t="s">
        <v>13</v>
      </c>
      <c r="F730">
        <v>43.1</v>
      </c>
      <c r="G730">
        <v>-78.95</v>
      </c>
      <c r="H730">
        <v>-5</v>
      </c>
      <c r="I730">
        <v>180</v>
      </c>
      <c r="J730" t="str">
        <f>HYPERLINK("https://climate.onebuilding.org/WMO_Region_4_North_and_Central_America/USA_United_States_of_America/NY_New_York/USA_NY_Niagara.Falls.Intl.AP.725287_TMY3.zip")</f>
        <v>https://climate.onebuilding.org/WMO_Region_4_North_and_Central_America/USA_United_States_of_America/NY_New_York/USA_NY_Niagara.Falls.Intl.AP.725287_TMY3.zip</v>
      </c>
    </row>
    <row r="731" spans="1:10" x14ac:dyDescent="0.25">
      <c r="A731" t="s">
        <v>15</v>
      </c>
      <c r="B731" t="s">
        <v>767</v>
      </c>
      <c r="C731" t="s">
        <v>783</v>
      </c>
      <c r="D731">
        <v>725036</v>
      </c>
      <c r="E731" t="s">
        <v>13</v>
      </c>
      <c r="F731">
        <v>41.633000000000003</v>
      </c>
      <c r="G731">
        <v>-73.882999999999996</v>
      </c>
      <c r="H731">
        <v>-5</v>
      </c>
      <c r="I731">
        <v>47</v>
      </c>
      <c r="J731" t="str">
        <f>HYPERLINK("https://climate.onebuilding.org/WMO_Region_4_North_and_Central_America/USA_United_States_of_America/NY_New_York/USA_NY_Poughkeepsie-Dutchess.County.AP.725036_TMY3.zip")</f>
        <v>https://climate.onebuilding.org/WMO_Region_4_North_and_Central_America/USA_United_States_of_America/NY_New_York/USA_NY_Poughkeepsie-Dutchess.County.AP.725036_TMY3.zip</v>
      </c>
    </row>
    <row r="732" spans="1:10" x14ac:dyDescent="0.25">
      <c r="A732" t="s">
        <v>15</v>
      </c>
      <c r="B732" t="s">
        <v>767</v>
      </c>
      <c r="C732" t="s">
        <v>784</v>
      </c>
      <c r="D732">
        <v>744864</v>
      </c>
      <c r="E732" t="s">
        <v>13</v>
      </c>
      <c r="F732">
        <v>40.716999999999999</v>
      </c>
      <c r="G732">
        <v>-73.417000000000002</v>
      </c>
      <c r="H732">
        <v>-5</v>
      </c>
      <c r="I732">
        <v>26</v>
      </c>
      <c r="J732" t="str">
        <f>HYPERLINK("https://climate.onebuilding.org/WMO_Region_4_North_and_Central_America/USA_United_States_of_America/NY_New_York/USA_NY_Farmingdale-Republic.AP.744864_TMY3.zip")</f>
        <v>https://climate.onebuilding.org/WMO_Region_4_North_and_Central_America/USA_United_States_of_America/NY_New_York/USA_NY_Farmingdale-Republic.AP.744864_TMY3.zip</v>
      </c>
    </row>
    <row r="733" spans="1:10" x14ac:dyDescent="0.25">
      <c r="A733" t="s">
        <v>15</v>
      </c>
      <c r="B733" t="s">
        <v>767</v>
      </c>
      <c r="C733" t="s">
        <v>785</v>
      </c>
      <c r="D733">
        <v>725290</v>
      </c>
      <c r="E733" t="s">
        <v>13</v>
      </c>
      <c r="F733">
        <v>43.116999999999997</v>
      </c>
      <c r="G733">
        <v>-77.683000000000007</v>
      </c>
      <c r="H733">
        <v>-5</v>
      </c>
      <c r="I733">
        <v>183</v>
      </c>
      <c r="J733" t="str">
        <f>HYPERLINK("https://climate.onebuilding.org/WMO_Region_4_North_and_Central_America/USA_United_States_of_America/NY_New_York/USA_NY_Rochester-Greater.Rochester.Intl.AP.725290_TMY3.zip")</f>
        <v>https://climate.onebuilding.org/WMO_Region_4_North_and_Central_America/USA_United_States_of_America/NY_New_York/USA_NY_Rochester-Greater.Rochester.Intl.AP.725290_TMY3.zip</v>
      </c>
    </row>
    <row r="734" spans="1:10" x14ac:dyDescent="0.25">
      <c r="A734" t="s">
        <v>15</v>
      </c>
      <c r="B734" t="s">
        <v>767</v>
      </c>
      <c r="C734" t="s">
        <v>786</v>
      </c>
      <c r="D734">
        <v>726228</v>
      </c>
      <c r="E734" t="s">
        <v>13</v>
      </c>
      <c r="F734">
        <v>44.383000000000003</v>
      </c>
      <c r="G734">
        <v>-74.2</v>
      </c>
      <c r="H734">
        <v>-5</v>
      </c>
      <c r="I734">
        <v>520</v>
      </c>
      <c r="J734" t="str">
        <f>HYPERLINK("https://climate.onebuilding.org/WMO_Region_4_North_and_Central_America/USA_United_States_of_America/NY_New_York/USA_NY_Saranac.Lake-Adirondack.Rgnl.AP.726228_TMY3.zip")</f>
        <v>https://climate.onebuilding.org/WMO_Region_4_North_and_Central_America/USA_United_States_of_America/NY_New_York/USA_NY_Saranac.Lake-Adirondack.Rgnl.AP.726228_TMY3.zip</v>
      </c>
    </row>
    <row r="735" spans="1:10" x14ac:dyDescent="0.25">
      <c r="A735" t="s">
        <v>15</v>
      </c>
      <c r="B735" t="s">
        <v>767</v>
      </c>
      <c r="C735" t="s">
        <v>787</v>
      </c>
      <c r="D735">
        <v>725190</v>
      </c>
      <c r="E735" t="s">
        <v>13</v>
      </c>
      <c r="F735">
        <v>43.116999999999997</v>
      </c>
      <c r="G735">
        <v>-76.099999999999994</v>
      </c>
      <c r="H735">
        <v>-5</v>
      </c>
      <c r="I735">
        <v>125</v>
      </c>
      <c r="J735" t="str">
        <f>HYPERLINK("https://climate.onebuilding.org/WMO_Region_4_North_and_Central_America/USA_United_States_of_America/NY_New_York/USA_NY_Syracuse.Hancock.Intl.AP.725190_TMY3.zip")</f>
        <v>https://climate.onebuilding.org/WMO_Region_4_North_and_Central_America/USA_United_States_of_America/NY_New_York/USA_NY_Syracuse.Hancock.Intl.AP.725190_TMY3.zip</v>
      </c>
    </row>
    <row r="736" spans="1:10" x14ac:dyDescent="0.25">
      <c r="A736" t="s">
        <v>15</v>
      </c>
      <c r="B736" t="s">
        <v>767</v>
      </c>
      <c r="C736" t="s">
        <v>788</v>
      </c>
      <c r="D736">
        <v>725197</v>
      </c>
      <c r="E736" t="s">
        <v>13</v>
      </c>
      <c r="F736">
        <v>43.15</v>
      </c>
      <c r="G736">
        <v>-75.382999999999996</v>
      </c>
      <c r="H736">
        <v>-5</v>
      </c>
      <c r="I736">
        <v>217</v>
      </c>
      <c r="J736" t="str">
        <f>HYPERLINK("https://climate.onebuilding.org/WMO_Region_4_North_and_Central_America/USA_United_States_of_America/NY_New_York/USA_NY_Utica-Oneida.County.AP.725197_TMY3.zip")</f>
        <v>https://climate.onebuilding.org/WMO_Region_4_North_and_Central_America/USA_United_States_of_America/NY_New_York/USA_NY_Utica-Oneida.County.AP.725197_TMY3.zip</v>
      </c>
    </row>
    <row r="737" spans="1:10" x14ac:dyDescent="0.25">
      <c r="A737" t="s">
        <v>15</v>
      </c>
      <c r="B737" t="s">
        <v>767</v>
      </c>
      <c r="C737" t="s">
        <v>789</v>
      </c>
      <c r="D737">
        <v>726227</v>
      </c>
      <c r="E737" t="s">
        <v>13</v>
      </c>
      <c r="F737">
        <v>44</v>
      </c>
      <c r="G737">
        <v>-76.016999999999996</v>
      </c>
      <c r="H737">
        <v>-5</v>
      </c>
      <c r="I737">
        <v>97</v>
      </c>
      <c r="J737" t="str">
        <f>HYPERLINK("https://climate.onebuilding.org/WMO_Region_4_North_and_Central_America/USA_United_States_of_America/NY_New_York/USA_NY_Watertown.Intl.AP.726227_TMY3.zip")</f>
        <v>https://climate.onebuilding.org/WMO_Region_4_North_and_Central_America/USA_United_States_of_America/NY_New_York/USA_NY_Watertown.Intl.AP.726227_TMY3.zip</v>
      </c>
    </row>
    <row r="738" spans="1:10" x14ac:dyDescent="0.25">
      <c r="A738" t="s">
        <v>15</v>
      </c>
      <c r="B738" t="s">
        <v>767</v>
      </c>
      <c r="C738" t="s">
        <v>790</v>
      </c>
      <c r="D738">
        <v>744865</v>
      </c>
      <c r="E738" t="s">
        <v>13</v>
      </c>
      <c r="F738">
        <v>40.85</v>
      </c>
      <c r="G738">
        <v>-72.632999999999996</v>
      </c>
      <c r="H738">
        <v>-5</v>
      </c>
      <c r="I738">
        <v>20</v>
      </c>
      <c r="J738" t="str">
        <f>HYPERLINK("https://climate.onebuilding.org/WMO_Region_4_North_and_Central_America/USA_United_States_of_America/NY_New_York/USA_NY_Westhampton-Gabreski.AP.744865_TMY3.zip")</f>
        <v>https://climate.onebuilding.org/WMO_Region_4_North_and_Central_America/USA_United_States_of_America/NY_New_York/USA_NY_Westhampton-Gabreski.AP.744865_TMY3.zip</v>
      </c>
    </row>
    <row r="739" spans="1:10" x14ac:dyDescent="0.25">
      <c r="A739" t="s">
        <v>15</v>
      </c>
      <c r="B739" t="s">
        <v>767</v>
      </c>
      <c r="C739" t="s">
        <v>791</v>
      </c>
      <c r="D739">
        <v>725037</v>
      </c>
      <c r="E739" t="s">
        <v>13</v>
      </c>
      <c r="F739">
        <v>41.067</v>
      </c>
      <c r="G739">
        <v>-73.709999999999994</v>
      </c>
      <c r="H739">
        <v>-5</v>
      </c>
      <c r="I739">
        <v>122</v>
      </c>
      <c r="J739" t="str">
        <f>HYPERLINK("https://climate.onebuilding.org/WMO_Region_4_North_and_Central_America/USA_United_States_of_America/NY_New_York/USA_NY_White.Plains-Westchester.County.AP.725037_TMY3.zip")</f>
        <v>https://climate.onebuilding.org/WMO_Region_4_North_and_Central_America/USA_United_States_of_America/NY_New_York/USA_NY_White.Plains-Westchester.County.AP.725037_TMY3.zip</v>
      </c>
    </row>
    <row r="740" spans="1:10" x14ac:dyDescent="0.25">
      <c r="A740" t="s">
        <v>15</v>
      </c>
      <c r="B740" t="s">
        <v>792</v>
      </c>
      <c r="C740" t="s">
        <v>793</v>
      </c>
      <c r="D740">
        <v>725210</v>
      </c>
      <c r="E740" t="s">
        <v>13</v>
      </c>
      <c r="F740">
        <v>40.917000000000002</v>
      </c>
      <c r="G740">
        <v>-81.433000000000007</v>
      </c>
      <c r="H740">
        <v>-5</v>
      </c>
      <c r="I740">
        <v>368</v>
      </c>
      <c r="J740" t="str">
        <f>HYPERLINK("https://climate.onebuilding.org/WMO_Region_4_North_and_Central_America/USA_United_States_of_America/OH_Ohio/USA_OH_Akron-Canton.AP.725210_TMY3.zip")</f>
        <v>https://climate.onebuilding.org/WMO_Region_4_North_and_Central_America/USA_United_States_of_America/OH_Ohio/USA_OH_Akron-Canton.AP.725210_TMY3.zip</v>
      </c>
    </row>
    <row r="741" spans="1:10" x14ac:dyDescent="0.25">
      <c r="A741" t="s">
        <v>15</v>
      </c>
      <c r="B741" t="s">
        <v>792</v>
      </c>
      <c r="C741" t="s">
        <v>794</v>
      </c>
      <c r="D741">
        <v>724297</v>
      </c>
      <c r="E741" t="s">
        <v>13</v>
      </c>
      <c r="F741">
        <v>39.1</v>
      </c>
      <c r="G741">
        <v>-84.417000000000002</v>
      </c>
      <c r="H741">
        <v>-5</v>
      </c>
      <c r="I741">
        <v>149</v>
      </c>
      <c r="J741" t="str">
        <f>HYPERLINK("https://climate.onebuilding.org/WMO_Region_4_North_and_Central_America/USA_United_States_of_America/OH_Ohio/USA_OH_Cincinnati.Muni.AP-Lunken.Field.724297_TMY3.zip")</f>
        <v>https://climate.onebuilding.org/WMO_Region_4_North_and_Central_America/USA_United_States_of_America/OH_Ohio/USA_OH_Cincinnati.Muni.AP-Lunken.Field.724297_TMY3.zip</v>
      </c>
    </row>
    <row r="742" spans="1:10" x14ac:dyDescent="0.25">
      <c r="A742" t="s">
        <v>15</v>
      </c>
      <c r="B742" t="s">
        <v>792</v>
      </c>
      <c r="C742" t="s">
        <v>795</v>
      </c>
      <c r="D742">
        <v>725245</v>
      </c>
      <c r="E742" t="s">
        <v>13</v>
      </c>
      <c r="F742">
        <v>41.517000000000003</v>
      </c>
      <c r="G742">
        <v>-81.683000000000007</v>
      </c>
      <c r="H742">
        <v>-5</v>
      </c>
      <c r="I742">
        <v>182</v>
      </c>
      <c r="J742" t="str">
        <f>HYPERLINK("https://climate.onebuilding.org/WMO_Region_4_North_and_Central_America/USA_United_States_of_America/OH_Ohio/USA_OH_Cleveland.Burke.Lakefront.AP.725245_TMY3.zip")</f>
        <v>https://climate.onebuilding.org/WMO_Region_4_North_and_Central_America/USA_United_States_of_America/OH_Ohio/USA_OH_Cleveland.Burke.Lakefront.AP.725245_TMY3.zip</v>
      </c>
    </row>
    <row r="743" spans="1:10" x14ac:dyDescent="0.25">
      <c r="A743" t="s">
        <v>15</v>
      </c>
      <c r="B743" t="s">
        <v>792</v>
      </c>
      <c r="C743" t="s">
        <v>796</v>
      </c>
      <c r="D743">
        <v>725240</v>
      </c>
      <c r="E743" t="s">
        <v>13</v>
      </c>
      <c r="F743">
        <v>41.4</v>
      </c>
      <c r="G743">
        <v>-81.849999999999994</v>
      </c>
      <c r="H743">
        <v>-5</v>
      </c>
      <c r="I743">
        <v>235</v>
      </c>
      <c r="J743" t="str">
        <f>HYPERLINK("https://climate.onebuilding.org/WMO_Region_4_North_and_Central_America/USA_United_States_of_America/OH_Ohio/USA_OH_Cleveland.Hopkins.Intl.AP.725240_TMY3.zip")</f>
        <v>https://climate.onebuilding.org/WMO_Region_4_North_and_Central_America/USA_United_States_of_America/OH_Ohio/USA_OH_Cleveland.Hopkins.Intl.AP.725240_TMY3.zip</v>
      </c>
    </row>
    <row r="744" spans="1:10" x14ac:dyDescent="0.25">
      <c r="A744" t="s">
        <v>15</v>
      </c>
      <c r="B744" t="s">
        <v>792</v>
      </c>
      <c r="C744" t="s">
        <v>797</v>
      </c>
      <c r="D744">
        <v>724280</v>
      </c>
      <c r="E744" t="s">
        <v>13</v>
      </c>
      <c r="F744">
        <v>39.982999999999997</v>
      </c>
      <c r="G744">
        <v>-82.882999999999996</v>
      </c>
      <c r="H744">
        <v>-5</v>
      </c>
      <c r="I744">
        <v>247</v>
      </c>
      <c r="J744" t="str">
        <f>HYPERLINK("https://climate.onebuilding.org/WMO_Region_4_North_and_Central_America/USA_United_States_of_America/OH_Ohio/USA_OH_Columbus-Port.Columbus.Intl.AP.724280_TMY3.zip")</f>
        <v>https://climate.onebuilding.org/WMO_Region_4_North_and_Central_America/USA_United_States_of_America/OH_Ohio/USA_OH_Columbus-Port.Columbus.Intl.AP.724280_TMY3.zip</v>
      </c>
    </row>
    <row r="745" spans="1:10" x14ac:dyDescent="0.25">
      <c r="A745" t="s">
        <v>15</v>
      </c>
      <c r="B745" t="s">
        <v>792</v>
      </c>
      <c r="C745" t="s">
        <v>798</v>
      </c>
      <c r="D745">
        <v>745700</v>
      </c>
      <c r="E745" t="s">
        <v>13</v>
      </c>
      <c r="F745">
        <v>39.832999999999998</v>
      </c>
      <c r="G745">
        <v>-84.05</v>
      </c>
      <c r="H745">
        <v>-5</v>
      </c>
      <c r="I745">
        <v>250</v>
      </c>
      <c r="J745" t="str">
        <f>HYPERLINK("https://climate.onebuilding.org/WMO_Region_4_North_and_Central_America/USA_United_States_of_America/OH_Ohio/USA_OH_Dayton-Wright-Patterson.AFB.745700_TMY3.zip")</f>
        <v>https://climate.onebuilding.org/WMO_Region_4_North_and_Central_America/USA_United_States_of_America/OH_Ohio/USA_OH_Dayton-Wright-Patterson.AFB.745700_TMY3.zip</v>
      </c>
    </row>
    <row r="746" spans="1:10" x14ac:dyDescent="0.25">
      <c r="A746" t="s">
        <v>15</v>
      </c>
      <c r="B746" t="s">
        <v>792</v>
      </c>
      <c r="C746" t="s">
        <v>799</v>
      </c>
      <c r="D746">
        <v>724290</v>
      </c>
      <c r="E746" t="s">
        <v>13</v>
      </c>
      <c r="F746">
        <v>39.9</v>
      </c>
      <c r="G746">
        <v>-84.216999999999999</v>
      </c>
      <c r="H746">
        <v>-5</v>
      </c>
      <c r="I746">
        <v>305</v>
      </c>
      <c r="J746" t="str">
        <f>HYPERLINK("https://climate.onebuilding.org/WMO_Region_4_North_and_Central_America/USA_United_States_of_America/OH_Ohio/USA_OH_Dayton.Intl.AP.724290_TMY3.zip")</f>
        <v>https://climate.onebuilding.org/WMO_Region_4_North_and_Central_America/USA_United_States_of_America/OH_Ohio/USA_OH_Dayton.Intl.AP.724290_TMY3.zip</v>
      </c>
    </row>
    <row r="747" spans="1:10" x14ac:dyDescent="0.25">
      <c r="A747" t="s">
        <v>15</v>
      </c>
      <c r="B747" t="s">
        <v>792</v>
      </c>
      <c r="C747" t="s">
        <v>800</v>
      </c>
      <c r="D747">
        <v>725366</v>
      </c>
      <c r="E747" t="s">
        <v>13</v>
      </c>
      <c r="F747">
        <v>41.017000000000003</v>
      </c>
      <c r="G747">
        <v>-83.667000000000002</v>
      </c>
      <c r="H747">
        <v>-5</v>
      </c>
      <c r="I747">
        <v>244</v>
      </c>
      <c r="J747" t="str">
        <f>HYPERLINK("https://climate.onebuilding.org/WMO_Region_4_North_and_Central_America/USA_United_States_of_America/OH_Ohio/USA_OH_Findlay.AP.725366_TMY3.zip")</f>
        <v>https://climate.onebuilding.org/WMO_Region_4_North_and_Central_America/USA_United_States_of_America/OH_Ohio/USA_OH_Findlay.AP.725366_TMY3.zip</v>
      </c>
    </row>
    <row r="748" spans="1:10" x14ac:dyDescent="0.25">
      <c r="A748" t="s">
        <v>15</v>
      </c>
      <c r="B748" t="s">
        <v>792</v>
      </c>
      <c r="C748" t="s">
        <v>801</v>
      </c>
      <c r="D748">
        <v>724200</v>
      </c>
      <c r="E748" t="s">
        <v>13</v>
      </c>
      <c r="F748">
        <v>40.817</v>
      </c>
      <c r="G748">
        <v>-82.516999999999996</v>
      </c>
      <c r="H748">
        <v>-5</v>
      </c>
      <c r="I748">
        <v>395</v>
      </c>
      <c r="J748" t="str">
        <f>HYPERLINK("https://climate.onebuilding.org/WMO_Region_4_North_and_Central_America/USA_United_States_of_America/OH_Ohio/USA_OH_Mansfield.Lahm.Rgnl.AP.724200_TMY3.zip")</f>
        <v>https://climate.onebuilding.org/WMO_Region_4_North_and_Central_America/USA_United_States_of_America/OH_Ohio/USA_OH_Mansfield.Lahm.Rgnl.AP.724200_TMY3.zip</v>
      </c>
    </row>
    <row r="749" spans="1:10" x14ac:dyDescent="0.25">
      <c r="A749" t="s">
        <v>15</v>
      </c>
      <c r="B749" t="s">
        <v>792</v>
      </c>
      <c r="C749" t="s">
        <v>802</v>
      </c>
      <c r="D749">
        <v>724288</v>
      </c>
      <c r="E749" t="s">
        <v>13</v>
      </c>
      <c r="F749">
        <v>40.067</v>
      </c>
      <c r="G749">
        <v>-83.066999999999993</v>
      </c>
      <c r="H749">
        <v>-5</v>
      </c>
      <c r="I749">
        <v>283</v>
      </c>
      <c r="J749" t="str">
        <f>HYPERLINK("https://climate.onebuilding.org/WMO_Region_4_North_and_Central_America/USA_United_States_of_America/OH_Ohio/USA_OH_Columbus-Ohio.State.Univ.AP.724288_TMY3.zip")</f>
        <v>https://climate.onebuilding.org/WMO_Region_4_North_and_Central_America/USA_United_States_of_America/OH_Ohio/USA_OH_Columbus-Ohio.State.Univ.AP.724288_TMY3.zip</v>
      </c>
    </row>
    <row r="750" spans="1:10" x14ac:dyDescent="0.25">
      <c r="A750" t="s">
        <v>15</v>
      </c>
      <c r="B750" t="s">
        <v>792</v>
      </c>
      <c r="C750" t="s">
        <v>803</v>
      </c>
      <c r="D750">
        <v>725360</v>
      </c>
      <c r="E750" t="s">
        <v>13</v>
      </c>
      <c r="F750">
        <v>41.582999999999998</v>
      </c>
      <c r="G750">
        <v>-83.8</v>
      </c>
      <c r="H750">
        <v>-5</v>
      </c>
      <c r="I750">
        <v>204</v>
      </c>
      <c r="J750" t="str">
        <f>HYPERLINK("https://climate.onebuilding.org/WMO_Region_4_North_and_Central_America/USA_United_States_of_America/OH_Ohio/USA_OH_Toledo.Express.AP.725360_TMY3.zip")</f>
        <v>https://climate.onebuilding.org/WMO_Region_4_North_and_Central_America/USA_United_States_of_America/OH_Ohio/USA_OH_Toledo.Express.AP.725360_TMY3.zip</v>
      </c>
    </row>
    <row r="751" spans="1:10" x14ac:dyDescent="0.25">
      <c r="A751" t="s">
        <v>15</v>
      </c>
      <c r="B751" t="s">
        <v>792</v>
      </c>
      <c r="C751" t="s">
        <v>804</v>
      </c>
      <c r="D751">
        <v>725250</v>
      </c>
      <c r="E751" t="s">
        <v>13</v>
      </c>
      <c r="F751">
        <v>41.25</v>
      </c>
      <c r="G751">
        <v>-80.667000000000002</v>
      </c>
      <c r="H751">
        <v>-5</v>
      </c>
      <c r="I751">
        <v>360</v>
      </c>
      <c r="J751" t="str">
        <f>HYPERLINK("https://climate.onebuilding.org/WMO_Region_4_North_and_Central_America/USA_United_States_of_America/OH_Ohio/USA_OH_Youngstown-Warren.Rgnl.AP.725250_TMY3.zip")</f>
        <v>https://climate.onebuilding.org/WMO_Region_4_North_and_Central_America/USA_United_States_of_America/OH_Ohio/USA_OH_Youngstown-Warren.Rgnl.AP.725250_TMY3.zip</v>
      </c>
    </row>
    <row r="752" spans="1:10" x14ac:dyDescent="0.25">
      <c r="A752" t="s">
        <v>15</v>
      </c>
      <c r="B752" t="s">
        <v>792</v>
      </c>
      <c r="C752" t="s">
        <v>805</v>
      </c>
      <c r="D752">
        <v>724286</v>
      </c>
      <c r="E752" t="s">
        <v>13</v>
      </c>
      <c r="F752">
        <v>39.950000000000003</v>
      </c>
      <c r="G752">
        <v>-81.900000000000006</v>
      </c>
      <c r="H752">
        <v>-5</v>
      </c>
      <c r="I752">
        <v>268</v>
      </c>
      <c r="J752" t="str">
        <f>HYPERLINK("https://climate.onebuilding.org/WMO_Region_4_North_and_Central_America/USA_United_States_of_America/OH_Ohio/USA_OH_Zanesville.Muni.AP.724286_TMY3.zip")</f>
        <v>https://climate.onebuilding.org/WMO_Region_4_North_and_Central_America/USA_United_States_of_America/OH_Ohio/USA_OH_Zanesville.Muni.AP.724286_TMY3.zip</v>
      </c>
    </row>
    <row r="753" spans="1:10" x14ac:dyDescent="0.25">
      <c r="A753" t="s">
        <v>15</v>
      </c>
      <c r="B753" t="s">
        <v>806</v>
      </c>
      <c r="C753" t="s">
        <v>807</v>
      </c>
      <c r="D753">
        <v>723520</v>
      </c>
      <c r="E753" t="s">
        <v>13</v>
      </c>
      <c r="F753">
        <v>34.65</v>
      </c>
      <c r="G753">
        <v>-99.266999999999996</v>
      </c>
      <c r="H753">
        <v>-6</v>
      </c>
      <c r="I753">
        <v>414</v>
      </c>
      <c r="J753" t="str">
        <f>HYPERLINK("https://climate.onebuilding.org/WMO_Region_4_North_and_Central_America/USA_United_States_of_America/OK_Oklahoma/USA_OK_Altus.AFB.723520_TMY3.zip")</f>
        <v>https://climate.onebuilding.org/WMO_Region_4_North_and_Central_America/USA_United_States_of_America/OK_Oklahoma/USA_OK_Altus.AFB.723520_TMY3.zip</v>
      </c>
    </row>
    <row r="754" spans="1:10" x14ac:dyDescent="0.25">
      <c r="A754" t="s">
        <v>15</v>
      </c>
      <c r="B754" t="s">
        <v>806</v>
      </c>
      <c r="C754" t="s">
        <v>808</v>
      </c>
      <c r="D754">
        <v>723565</v>
      </c>
      <c r="E754" t="s">
        <v>13</v>
      </c>
      <c r="F754">
        <v>36.767000000000003</v>
      </c>
      <c r="G754">
        <v>-96.016999999999996</v>
      </c>
      <c r="H754">
        <v>-6</v>
      </c>
      <c r="I754">
        <v>218</v>
      </c>
      <c r="J754" t="str">
        <f>HYPERLINK("https://climate.onebuilding.org/WMO_Region_4_North_and_Central_America/USA_United_States_of_America/OK_Oklahoma/USA_OK_Bartlesville.Muni.AP-Phillips.Field.723565_TMY3.zip")</f>
        <v>https://climate.onebuilding.org/WMO_Region_4_North_and_Central_America/USA_United_States_of_America/OK_Oklahoma/USA_OK_Bartlesville.Muni.AP-Phillips.Field.723565_TMY3.zip</v>
      </c>
    </row>
    <row r="755" spans="1:10" x14ac:dyDescent="0.25">
      <c r="A755" t="s">
        <v>15</v>
      </c>
      <c r="B755" t="s">
        <v>806</v>
      </c>
      <c r="C755" t="s">
        <v>809</v>
      </c>
      <c r="D755">
        <v>723526</v>
      </c>
      <c r="E755" t="s">
        <v>13</v>
      </c>
      <c r="F755">
        <v>35.332999999999998</v>
      </c>
      <c r="G755">
        <v>-99.2</v>
      </c>
      <c r="H755">
        <v>-6</v>
      </c>
      <c r="I755">
        <v>586</v>
      </c>
      <c r="J755" t="str">
        <f>HYPERLINK("https://climate.onebuilding.org/WMO_Region_4_North_and_Central_America/USA_United_States_of_America/OK_Oklahoma/USA_OK_Clinton-Sherman.Industrial.Airpark.723526_TMY3.zip")</f>
        <v>https://climate.onebuilding.org/WMO_Region_4_North_and_Central_America/USA_United_States_of_America/OK_Oklahoma/USA_OK_Clinton-Sherman.Industrial.Airpark.723526_TMY3.zip</v>
      </c>
    </row>
    <row r="756" spans="1:10" x14ac:dyDescent="0.25">
      <c r="A756" t="s">
        <v>15</v>
      </c>
      <c r="B756" t="s">
        <v>806</v>
      </c>
      <c r="C756" t="s">
        <v>810</v>
      </c>
      <c r="D756">
        <v>723550</v>
      </c>
      <c r="E756" t="s">
        <v>13</v>
      </c>
      <c r="F756">
        <v>34.65</v>
      </c>
      <c r="G756">
        <v>-98.4</v>
      </c>
      <c r="H756">
        <v>-6</v>
      </c>
      <c r="I756">
        <v>369</v>
      </c>
      <c r="J756" t="str">
        <f>HYPERLINK("https://climate.onebuilding.org/WMO_Region_4_North_and_Central_America/USA_United_States_of_America/OK_Oklahoma/USA_OK_Lawton-Fort.Sill-Post.AAF.723550_TMY3.zip")</f>
        <v>https://climate.onebuilding.org/WMO_Region_4_North_and_Central_America/USA_United_States_of_America/OK_Oklahoma/USA_OK_Lawton-Fort.Sill-Post.AAF.723550_TMY3.zip</v>
      </c>
    </row>
    <row r="757" spans="1:10" x14ac:dyDescent="0.25">
      <c r="A757" t="s">
        <v>15</v>
      </c>
      <c r="B757" t="s">
        <v>806</v>
      </c>
      <c r="C757" t="s">
        <v>811</v>
      </c>
      <c r="D757">
        <v>746410</v>
      </c>
      <c r="E757" t="s">
        <v>13</v>
      </c>
      <c r="F757">
        <v>36.299999999999997</v>
      </c>
      <c r="G757">
        <v>-99.766999999999996</v>
      </c>
      <c r="H757">
        <v>-6</v>
      </c>
      <c r="I757">
        <v>668</v>
      </c>
      <c r="J757" t="str">
        <f>HYPERLINK("https://climate.onebuilding.org/WMO_Region_4_North_and_Central_America/USA_United_States_of_America/OK_Oklahoma/USA_OK_Gage-Shattuck.AP.746410_TMY3.zip")</f>
        <v>https://climate.onebuilding.org/WMO_Region_4_North_and_Central_America/USA_United_States_of_America/OK_Oklahoma/USA_OK_Gage-Shattuck.AP.746410_TMY3.zip</v>
      </c>
    </row>
    <row r="758" spans="1:10" x14ac:dyDescent="0.25">
      <c r="A758" t="s">
        <v>15</v>
      </c>
      <c r="B758" t="s">
        <v>806</v>
      </c>
      <c r="C758" t="s">
        <v>812</v>
      </c>
      <c r="D758">
        <v>723525</v>
      </c>
      <c r="E758" t="s">
        <v>13</v>
      </c>
      <c r="F758">
        <v>35</v>
      </c>
      <c r="G758">
        <v>-99.05</v>
      </c>
      <c r="H758">
        <v>-6</v>
      </c>
      <c r="I758">
        <v>478</v>
      </c>
      <c r="J758" t="str">
        <f>HYPERLINK("https://climate.onebuilding.org/WMO_Region_4_North_and_Central_America/USA_United_States_of_America/OK_Oklahoma/USA_OK_Hobart.Rgnl.AP.723525_TMY3.zip")</f>
        <v>https://climate.onebuilding.org/WMO_Region_4_North_and_Central_America/USA_United_States_of_America/OK_Oklahoma/USA_OK_Hobart.Rgnl.AP.723525_TMY3.zip</v>
      </c>
    </row>
    <row r="759" spans="1:10" x14ac:dyDescent="0.25">
      <c r="A759" t="s">
        <v>15</v>
      </c>
      <c r="B759" t="s">
        <v>806</v>
      </c>
      <c r="C759" t="s">
        <v>813</v>
      </c>
      <c r="D759">
        <v>723575</v>
      </c>
      <c r="E759" t="s">
        <v>13</v>
      </c>
      <c r="F759">
        <v>34.567</v>
      </c>
      <c r="G759">
        <v>-98.417000000000002</v>
      </c>
      <c r="H759">
        <v>-6</v>
      </c>
      <c r="I759">
        <v>338</v>
      </c>
      <c r="J759" t="str">
        <f>HYPERLINK("https://climate.onebuilding.org/WMO_Region_4_North_and_Central_America/USA_United_States_of_America/OK_Oklahoma/USA_OK_Lawton-Fort.Sill.Rgnl.AP.723575_TMY3.zip")</f>
        <v>https://climate.onebuilding.org/WMO_Region_4_North_and_Central_America/USA_United_States_of_America/OK_Oklahoma/USA_OK_Lawton-Fort.Sill.Rgnl.AP.723575_TMY3.zip</v>
      </c>
    </row>
    <row r="760" spans="1:10" x14ac:dyDescent="0.25">
      <c r="A760" t="s">
        <v>15</v>
      </c>
      <c r="B760" t="s">
        <v>806</v>
      </c>
      <c r="C760" t="s">
        <v>814</v>
      </c>
      <c r="D760">
        <v>723566</v>
      </c>
      <c r="E760" t="s">
        <v>13</v>
      </c>
      <c r="F760">
        <v>34.9</v>
      </c>
      <c r="G760">
        <v>-95.783000000000001</v>
      </c>
      <c r="H760">
        <v>-6</v>
      </c>
      <c r="I760">
        <v>232</v>
      </c>
      <c r="J760" t="str">
        <f>HYPERLINK("https://climate.onebuilding.org/WMO_Region_4_North_and_Central_America/USA_United_States_of_America/OK_Oklahoma/USA_OK_McAlester.Rgnl.AP.723566_TMY3.zip")</f>
        <v>https://climate.onebuilding.org/WMO_Region_4_North_and_Central_America/USA_United_States_of_America/OK_Oklahoma/USA_OK_McAlester.Rgnl.AP.723566_TMY3.zip</v>
      </c>
    </row>
    <row r="761" spans="1:10" x14ac:dyDescent="0.25">
      <c r="A761" t="s">
        <v>15</v>
      </c>
      <c r="B761" t="s">
        <v>806</v>
      </c>
      <c r="C761" t="s">
        <v>815</v>
      </c>
      <c r="D761">
        <v>723540</v>
      </c>
      <c r="E761" t="s">
        <v>13</v>
      </c>
      <c r="F761">
        <v>35.417000000000002</v>
      </c>
      <c r="G761">
        <v>-97.382999999999996</v>
      </c>
      <c r="H761">
        <v>-6</v>
      </c>
      <c r="I761">
        <v>384</v>
      </c>
      <c r="J761" t="str">
        <f>HYPERLINK("https://climate.onebuilding.org/WMO_Region_4_North_and_Central_America/USA_United_States_of_America/OK_Oklahoma/USA_OK_Oklahoma.City-Tinker.AFB.723540_TMY3.zip")</f>
        <v>https://climate.onebuilding.org/WMO_Region_4_North_and_Central_America/USA_United_States_of_America/OK_Oklahoma/USA_OK_Oklahoma.City-Tinker.AFB.723540_TMY3.zip</v>
      </c>
    </row>
    <row r="762" spans="1:10" x14ac:dyDescent="0.25">
      <c r="A762" t="s">
        <v>15</v>
      </c>
      <c r="B762" t="s">
        <v>806</v>
      </c>
      <c r="C762" t="s">
        <v>816</v>
      </c>
      <c r="D762">
        <v>723544</v>
      </c>
      <c r="E762" t="s">
        <v>13</v>
      </c>
      <c r="F762">
        <v>35.533000000000001</v>
      </c>
      <c r="G762">
        <v>-97.65</v>
      </c>
      <c r="H762">
        <v>-6</v>
      </c>
      <c r="I762">
        <v>396</v>
      </c>
      <c r="J762" t="str">
        <f>HYPERLINK("https://climate.onebuilding.org/WMO_Region_4_North_and_Central_America/USA_United_States_of_America/OK_Oklahoma/USA_OK_Oklahoma.City-Post.AP.723544_TMY3.zip")</f>
        <v>https://climate.onebuilding.org/WMO_Region_4_North_and_Central_America/USA_United_States_of_America/OK_Oklahoma/USA_OK_Oklahoma.City-Post.AP.723544_TMY3.zip</v>
      </c>
    </row>
    <row r="763" spans="1:10" x14ac:dyDescent="0.25">
      <c r="A763" t="s">
        <v>15</v>
      </c>
      <c r="B763" t="s">
        <v>806</v>
      </c>
      <c r="C763" t="s">
        <v>817</v>
      </c>
      <c r="D763">
        <v>723530</v>
      </c>
      <c r="E763" t="s">
        <v>13</v>
      </c>
      <c r="F763">
        <v>35.383000000000003</v>
      </c>
      <c r="G763">
        <v>-97.6</v>
      </c>
      <c r="H763">
        <v>-6</v>
      </c>
      <c r="I763">
        <v>398</v>
      </c>
      <c r="J763" t="str">
        <f>HYPERLINK("https://climate.onebuilding.org/WMO_Region_4_North_and_Central_America/USA_United_States_of_America/OK_Oklahoma/USA_OK_Oklahoma.City-Rogers.World.AP.723530_TMY3.zip")</f>
        <v>https://climate.onebuilding.org/WMO_Region_4_North_and_Central_America/USA_United_States_of_America/OK_Oklahoma/USA_OK_Oklahoma.City-Rogers.World.AP.723530_TMY3.zip</v>
      </c>
    </row>
    <row r="764" spans="1:10" x14ac:dyDescent="0.25">
      <c r="A764" t="s">
        <v>15</v>
      </c>
      <c r="B764" t="s">
        <v>806</v>
      </c>
      <c r="C764" t="s">
        <v>818</v>
      </c>
      <c r="D764">
        <v>724530</v>
      </c>
      <c r="E764" t="s">
        <v>13</v>
      </c>
      <c r="F764">
        <v>36.728999999999999</v>
      </c>
      <c r="G764">
        <v>-97.1</v>
      </c>
      <c r="H764">
        <v>-6</v>
      </c>
      <c r="I764">
        <v>318</v>
      </c>
      <c r="J764" t="str">
        <f>HYPERLINK("https://climate.onebuilding.org/WMO_Region_4_North_and_Central_America/USA_United_States_of_America/OK_Oklahoma/USA_OK_Ponca.City.Rgnl.AP.724530_TMY3.zip")</f>
        <v>https://climate.onebuilding.org/WMO_Region_4_North_and_Central_America/USA_United_States_of_America/OK_Oklahoma/USA_OK_Ponca.City.Rgnl.AP.724530_TMY3.zip</v>
      </c>
    </row>
    <row r="765" spans="1:10" x14ac:dyDescent="0.25">
      <c r="A765" t="s">
        <v>15</v>
      </c>
      <c r="B765" t="s">
        <v>806</v>
      </c>
      <c r="C765" t="s">
        <v>819</v>
      </c>
      <c r="D765">
        <v>723545</v>
      </c>
      <c r="E765" t="s">
        <v>13</v>
      </c>
      <c r="F765">
        <v>36.15</v>
      </c>
      <c r="G765">
        <v>-97.082999999999998</v>
      </c>
      <c r="H765">
        <v>-6</v>
      </c>
      <c r="I765">
        <v>308</v>
      </c>
      <c r="J765" t="str">
        <f>HYPERLINK("https://climate.onebuilding.org/WMO_Region_4_North_and_Central_America/USA_United_States_of_America/OK_Oklahoma/USA_OK_Stillwater.Rgnl.AP-Searcy.Field.723545_TMY3.zip")</f>
        <v>https://climate.onebuilding.org/WMO_Region_4_North_and_Central_America/USA_United_States_of_America/OK_Oklahoma/USA_OK_Stillwater.Rgnl.AP-Searcy.Field.723545_TMY3.zip</v>
      </c>
    </row>
    <row r="766" spans="1:10" x14ac:dyDescent="0.25">
      <c r="A766" t="s">
        <v>15</v>
      </c>
      <c r="B766" t="s">
        <v>806</v>
      </c>
      <c r="C766" t="s">
        <v>820</v>
      </c>
      <c r="D766">
        <v>723560</v>
      </c>
      <c r="E766" t="s">
        <v>13</v>
      </c>
      <c r="F766">
        <v>36.200000000000003</v>
      </c>
      <c r="G766">
        <v>-95.882999999999996</v>
      </c>
      <c r="H766">
        <v>-6</v>
      </c>
      <c r="I766">
        <v>198</v>
      </c>
      <c r="J766" t="str">
        <f>HYPERLINK("https://climate.onebuilding.org/WMO_Region_4_North_and_Central_America/USA_United_States_of_America/OK_Oklahoma/USA_OK_Tulsa.Intl.AP.723560_TMY3.zip")</f>
        <v>https://climate.onebuilding.org/WMO_Region_4_North_and_Central_America/USA_United_States_of_America/OK_Oklahoma/USA_OK_Tulsa.Intl.AP.723560_TMY3.zip</v>
      </c>
    </row>
    <row r="767" spans="1:10" x14ac:dyDescent="0.25">
      <c r="A767" t="s">
        <v>15</v>
      </c>
      <c r="B767" t="s">
        <v>806</v>
      </c>
      <c r="C767" t="s">
        <v>821</v>
      </c>
      <c r="D767">
        <v>723535</v>
      </c>
      <c r="E767" t="s">
        <v>13</v>
      </c>
      <c r="F767">
        <v>36.332999999999998</v>
      </c>
      <c r="G767">
        <v>-97.917000000000002</v>
      </c>
      <c r="H767">
        <v>-6</v>
      </c>
      <c r="I767">
        <v>408</v>
      </c>
      <c r="J767" t="str">
        <f>HYPERLINK("https://climate.onebuilding.org/WMO_Region_4_North_and_Central_America/USA_United_States_of_America/OK_Oklahoma/USA_OK_Enid-Vance.AFB.723535_TMY3.zip")</f>
        <v>https://climate.onebuilding.org/WMO_Region_4_North_and_Central_America/USA_United_States_of_America/OK_Oklahoma/USA_OK_Enid-Vance.AFB.723535_TMY3.zip</v>
      </c>
    </row>
    <row r="768" spans="1:10" x14ac:dyDescent="0.25">
      <c r="A768" t="s">
        <v>15</v>
      </c>
      <c r="B768" t="s">
        <v>822</v>
      </c>
      <c r="C768" t="s">
        <v>823</v>
      </c>
      <c r="D768">
        <v>727910</v>
      </c>
      <c r="E768" t="s">
        <v>13</v>
      </c>
      <c r="F768">
        <v>46.15</v>
      </c>
      <c r="G768">
        <v>-123.883</v>
      </c>
      <c r="H768">
        <v>-8</v>
      </c>
      <c r="I768">
        <v>3</v>
      </c>
      <c r="J768" t="str">
        <f>HYPERLINK("https://climate.onebuilding.org/WMO_Region_4_North_and_Central_America/USA_United_States_of_America/OR_Oregon/USA_OR_Astoria.Rgnl.AP.727910_TMY3.zip")</f>
        <v>https://climate.onebuilding.org/WMO_Region_4_North_and_Central_America/USA_United_States_of_America/OR_Oregon/USA_OR_Astoria.Rgnl.AP.727910_TMY3.zip</v>
      </c>
    </row>
    <row r="769" spans="1:10" x14ac:dyDescent="0.25">
      <c r="A769" t="s">
        <v>15</v>
      </c>
      <c r="B769" t="s">
        <v>822</v>
      </c>
      <c r="C769" t="s">
        <v>824</v>
      </c>
      <c r="D769">
        <v>726959</v>
      </c>
      <c r="E769" t="s">
        <v>13</v>
      </c>
      <c r="F769">
        <v>45.25</v>
      </c>
      <c r="G769">
        <v>-122.767</v>
      </c>
      <c r="H769">
        <v>-8</v>
      </c>
      <c r="I769">
        <v>60</v>
      </c>
      <c r="J769" t="str">
        <f>HYPERLINK("https://climate.onebuilding.org/WMO_Region_4_North_and_Central_America/USA_United_States_of_America/OR_Oregon/USA_OR_Aurora.State.AP-Lematta.Field.726959_TMY3.zip")</f>
        <v>https://climate.onebuilding.org/WMO_Region_4_North_and_Central_America/USA_United_States_of_America/OR_Oregon/USA_OR_Aurora.State.AP-Lematta.Field.726959_TMY3.zip</v>
      </c>
    </row>
    <row r="770" spans="1:10" x14ac:dyDescent="0.25">
      <c r="A770" t="s">
        <v>15</v>
      </c>
      <c r="B770" t="s">
        <v>822</v>
      </c>
      <c r="C770" t="s">
        <v>825</v>
      </c>
      <c r="D770">
        <v>726886</v>
      </c>
      <c r="E770" t="s">
        <v>13</v>
      </c>
      <c r="F770">
        <v>44.832999999999998</v>
      </c>
      <c r="G770">
        <v>-117.81699999999999</v>
      </c>
      <c r="H770">
        <v>-8</v>
      </c>
      <c r="I770">
        <v>1027</v>
      </c>
      <c r="J770" t="str">
        <f>HYPERLINK("https://climate.onebuilding.org/WMO_Region_4_North_and_Central_America/USA_United_States_of_America/OR_Oregon/USA_OR_Baker.City.Muni.AP.726886_TMY3.zip")</f>
        <v>https://climate.onebuilding.org/WMO_Region_4_North_and_Central_America/USA_United_States_of_America/OR_Oregon/USA_OR_Baker.City.Muni.AP.726886_TMY3.zip</v>
      </c>
    </row>
    <row r="771" spans="1:10" x14ac:dyDescent="0.25">
      <c r="A771" t="s">
        <v>15</v>
      </c>
      <c r="B771" t="s">
        <v>822</v>
      </c>
      <c r="C771" t="s">
        <v>826</v>
      </c>
      <c r="D771">
        <v>726830</v>
      </c>
      <c r="E771" t="s">
        <v>13</v>
      </c>
      <c r="F771">
        <v>43.59</v>
      </c>
      <c r="G771">
        <v>-118.95699999999999</v>
      </c>
      <c r="H771">
        <v>-8</v>
      </c>
      <c r="I771">
        <v>1271</v>
      </c>
      <c r="J771" t="str">
        <f>HYPERLINK("https://climate.onebuilding.org/WMO_Region_4_North_and_Central_America/USA_United_States_of_America/OR_Oregon/USA_OR_Burns.Muni.AP.726830_TMY3.zip")</f>
        <v>https://climate.onebuilding.org/WMO_Region_4_North_and_Central_America/USA_United_States_of_America/OR_Oregon/USA_OR_Burns.Muni.AP.726830_TMY3.zip</v>
      </c>
    </row>
    <row r="772" spans="1:10" x14ac:dyDescent="0.25">
      <c r="A772" t="s">
        <v>15</v>
      </c>
      <c r="B772" t="s">
        <v>822</v>
      </c>
      <c r="C772" t="s">
        <v>827</v>
      </c>
      <c r="D772">
        <v>726945</v>
      </c>
      <c r="E772" t="s">
        <v>13</v>
      </c>
      <c r="F772">
        <v>44.482999999999997</v>
      </c>
      <c r="G772">
        <v>-123.283</v>
      </c>
      <c r="H772">
        <v>-8</v>
      </c>
      <c r="I772">
        <v>77</v>
      </c>
      <c r="J772" t="str">
        <f>HYPERLINK("https://climate.onebuilding.org/WMO_Region_4_North_and_Central_America/USA_United_States_of_America/OR_Oregon/USA_OR_Corvallis.Muni.AP.726945_TMY3.zip")</f>
        <v>https://climate.onebuilding.org/WMO_Region_4_North_and_Central_America/USA_United_States_of_America/OR_Oregon/USA_OR_Corvallis.Muni.AP.726945_TMY3.zip</v>
      </c>
    </row>
    <row r="773" spans="1:10" x14ac:dyDescent="0.25">
      <c r="A773" t="s">
        <v>15</v>
      </c>
      <c r="B773" t="s">
        <v>822</v>
      </c>
      <c r="C773" t="s">
        <v>828</v>
      </c>
      <c r="D773">
        <v>726930</v>
      </c>
      <c r="E773" t="s">
        <v>13</v>
      </c>
      <c r="F773">
        <v>44.12</v>
      </c>
      <c r="G773">
        <v>-123.21599999999999</v>
      </c>
      <c r="H773">
        <v>-8</v>
      </c>
      <c r="I773">
        <v>109</v>
      </c>
      <c r="J773" t="str">
        <f>HYPERLINK("https://climate.onebuilding.org/WMO_Region_4_North_and_Central_America/USA_United_States_of_America/OR_Oregon/USA_OR_Eugene.AP-Sweet.Field.726930_TMY3.zip")</f>
        <v>https://climate.onebuilding.org/WMO_Region_4_North_and_Central_America/USA_United_States_of_America/OR_Oregon/USA_OR_Eugene.AP-Sweet.Field.726930_TMY3.zip</v>
      </c>
    </row>
    <row r="774" spans="1:10" x14ac:dyDescent="0.25">
      <c r="A774" t="s">
        <v>15</v>
      </c>
      <c r="B774" t="s">
        <v>822</v>
      </c>
      <c r="C774" t="s">
        <v>829</v>
      </c>
      <c r="D774">
        <v>725895</v>
      </c>
      <c r="E774" t="s">
        <v>13</v>
      </c>
      <c r="F774">
        <v>42.15</v>
      </c>
      <c r="G774">
        <v>-121.74</v>
      </c>
      <c r="H774">
        <v>-8</v>
      </c>
      <c r="I774">
        <v>1220</v>
      </c>
      <c r="J774" t="str">
        <f>HYPERLINK("https://climate.onebuilding.org/WMO_Region_4_North_and_Central_America/USA_United_States_of_America/OR_Oregon/USA_OR_Crater.Lake-Klamath.Rgnl.AP.725895_TMY3.zip")</f>
        <v>https://climate.onebuilding.org/WMO_Region_4_North_and_Central_America/USA_United_States_of_America/OR_Oregon/USA_OR_Crater.Lake-Klamath.Rgnl.AP.725895_TMY3.zip</v>
      </c>
    </row>
    <row r="775" spans="1:10" x14ac:dyDescent="0.25">
      <c r="A775" t="s">
        <v>15</v>
      </c>
      <c r="B775" t="s">
        <v>822</v>
      </c>
      <c r="C775" t="s">
        <v>830</v>
      </c>
      <c r="D775">
        <v>726884</v>
      </c>
      <c r="E775" t="s">
        <v>13</v>
      </c>
      <c r="F775">
        <v>45.283000000000001</v>
      </c>
      <c r="G775">
        <v>-118</v>
      </c>
      <c r="H775">
        <v>-8</v>
      </c>
      <c r="I775">
        <v>827</v>
      </c>
      <c r="J775" t="str">
        <f>HYPERLINK("https://climate.onebuilding.org/WMO_Region_4_North_and_Central_America/USA_United_States_of_America/OR_Oregon/USA_OR_La.Grande-Union.County.AP.726884_TMY3.zip")</f>
        <v>https://climate.onebuilding.org/WMO_Region_4_North_and_Central_America/USA_United_States_of_America/OR_Oregon/USA_OR_La.Grande-Union.County.AP.726884_TMY3.zip</v>
      </c>
    </row>
    <row r="776" spans="1:10" x14ac:dyDescent="0.25">
      <c r="A776" t="s">
        <v>15</v>
      </c>
      <c r="B776" t="s">
        <v>822</v>
      </c>
      <c r="C776" t="s">
        <v>831</v>
      </c>
      <c r="D776">
        <v>725976</v>
      </c>
      <c r="E776" t="s">
        <v>13</v>
      </c>
      <c r="F776">
        <v>42.167000000000002</v>
      </c>
      <c r="G776">
        <v>-120.4</v>
      </c>
      <c r="H776">
        <v>-8</v>
      </c>
      <c r="I776">
        <v>1441</v>
      </c>
      <c r="J776" t="str">
        <f>HYPERLINK("https://climate.onebuilding.org/WMO_Region_4_North_and_Central_America/USA_United_States_of_America/OR_Oregon/USA_OR_Lakeview-Lake.County.AP.725976_TMY3.zip")</f>
        <v>https://climate.onebuilding.org/WMO_Region_4_North_and_Central_America/USA_United_States_of_America/OR_Oregon/USA_OR_Lakeview-Lake.County.AP.725976_TMY3.zip</v>
      </c>
    </row>
    <row r="777" spans="1:10" x14ac:dyDescent="0.25">
      <c r="A777" t="s">
        <v>15</v>
      </c>
      <c r="B777" t="s">
        <v>822</v>
      </c>
      <c r="C777" t="s">
        <v>832</v>
      </c>
      <c r="D777">
        <v>725970</v>
      </c>
      <c r="E777" t="s">
        <v>13</v>
      </c>
      <c r="F777">
        <v>42.372</v>
      </c>
      <c r="G777">
        <v>-122.875</v>
      </c>
      <c r="H777">
        <v>-8</v>
      </c>
      <c r="I777">
        <v>595</v>
      </c>
      <c r="J777" t="str">
        <f>HYPERLINK("https://climate.onebuilding.org/WMO_Region_4_North_and_Central_America/USA_United_States_of_America/OR_Oregon/USA_OR_Medford-Rogue.Valley.Intl-Medford.AP.725970_TMY3.zip")</f>
        <v>https://climate.onebuilding.org/WMO_Region_4_North_and_Central_America/USA_United_States_of_America/OR_Oregon/USA_OR_Medford-Rogue.Valley.Intl-Medford.AP.725970_TMY3.zip</v>
      </c>
    </row>
    <row r="778" spans="1:10" x14ac:dyDescent="0.25">
      <c r="A778" t="s">
        <v>15</v>
      </c>
      <c r="B778" t="s">
        <v>822</v>
      </c>
      <c r="C778" t="s">
        <v>833</v>
      </c>
      <c r="D778">
        <v>726917</v>
      </c>
      <c r="E778" t="s">
        <v>13</v>
      </c>
      <c r="F778">
        <v>43.417000000000002</v>
      </c>
      <c r="G778">
        <v>-124.25</v>
      </c>
      <c r="H778">
        <v>-8</v>
      </c>
      <c r="I778">
        <v>2</v>
      </c>
      <c r="J778" t="str">
        <f>HYPERLINK("https://climate.onebuilding.org/WMO_Region_4_North_and_Central_America/USA_United_States_of_America/OR_Oregon/USA_OR_North.Bend-Southwest.Oregon.Rgnl.AP.726917_TMY3.zip")</f>
        <v>https://climate.onebuilding.org/WMO_Region_4_North_and_Central_America/USA_United_States_of_America/OR_Oregon/USA_OR_North.Bend-Southwest.Oregon.Rgnl.AP.726917_TMY3.zip</v>
      </c>
    </row>
    <row r="779" spans="1:10" x14ac:dyDescent="0.25">
      <c r="A779" t="s">
        <v>15</v>
      </c>
      <c r="B779" t="s">
        <v>822</v>
      </c>
      <c r="C779" t="s">
        <v>834</v>
      </c>
      <c r="D779">
        <v>726880</v>
      </c>
      <c r="E779" t="s">
        <v>13</v>
      </c>
      <c r="F779">
        <v>45.7</v>
      </c>
      <c r="G779">
        <v>-118.833</v>
      </c>
      <c r="H779">
        <v>-8</v>
      </c>
      <c r="I779">
        <v>452</v>
      </c>
      <c r="J779" t="str">
        <f>HYPERLINK("https://climate.onebuilding.org/WMO_Region_4_North_and_Central_America/USA_United_States_of_America/OR_Oregon/USA_OR_Pendleton-Eastern.Oregon.Rgnl.AP.726880_TMY3.zip")</f>
        <v>https://climate.onebuilding.org/WMO_Region_4_North_and_Central_America/USA_United_States_of_America/OR_Oregon/USA_OR_Pendleton-Eastern.Oregon.Rgnl.AP.726880_TMY3.zip</v>
      </c>
    </row>
    <row r="780" spans="1:10" x14ac:dyDescent="0.25">
      <c r="A780" t="s">
        <v>15</v>
      </c>
      <c r="B780" t="s">
        <v>822</v>
      </c>
      <c r="C780" t="s">
        <v>835</v>
      </c>
      <c r="D780">
        <v>726986</v>
      </c>
      <c r="E780" t="s">
        <v>13</v>
      </c>
      <c r="F780">
        <v>45.533000000000001</v>
      </c>
      <c r="G780">
        <v>-122.95</v>
      </c>
      <c r="H780">
        <v>-8</v>
      </c>
      <c r="I780">
        <v>62</v>
      </c>
      <c r="J780" t="str">
        <f>HYPERLINK("https://climate.onebuilding.org/WMO_Region_4_North_and_Central_America/USA_United_States_of_America/OR_Oregon/USA_OR_Portland-Hillsboro.AP.726986_TMY3.zip")</f>
        <v>https://climate.onebuilding.org/WMO_Region_4_North_and_Central_America/USA_United_States_of_America/OR_Oregon/USA_OR_Portland-Hillsboro.AP.726986_TMY3.zip</v>
      </c>
    </row>
    <row r="781" spans="1:10" x14ac:dyDescent="0.25">
      <c r="A781" t="s">
        <v>15</v>
      </c>
      <c r="B781" t="s">
        <v>822</v>
      </c>
      <c r="C781" t="s">
        <v>836</v>
      </c>
      <c r="D781">
        <v>726985</v>
      </c>
      <c r="E781" t="s">
        <v>13</v>
      </c>
      <c r="F781">
        <v>45.55</v>
      </c>
      <c r="G781">
        <v>-122.4</v>
      </c>
      <c r="H781">
        <v>-8</v>
      </c>
      <c r="I781">
        <v>11</v>
      </c>
      <c r="J781" t="str">
        <f>HYPERLINK("https://climate.onebuilding.org/WMO_Region_4_North_and_Central_America/USA_United_States_of_America/OR_Oregon/USA_OR_Portland-Troutdale.AP.726985_TMY3.zip")</f>
        <v>https://climate.onebuilding.org/WMO_Region_4_North_and_Central_America/USA_United_States_of_America/OR_Oregon/USA_OR_Portland-Troutdale.AP.726985_TMY3.zip</v>
      </c>
    </row>
    <row r="782" spans="1:10" x14ac:dyDescent="0.25">
      <c r="A782" t="s">
        <v>15</v>
      </c>
      <c r="B782" t="s">
        <v>822</v>
      </c>
      <c r="C782" t="s">
        <v>837</v>
      </c>
      <c r="D782">
        <v>726980</v>
      </c>
      <c r="E782" t="s">
        <v>13</v>
      </c>
      <c r="F782">
        <v>45.6</v>
      </c>
      <c r="G782">
        <v>-122.617</v>
      </c>
      <c r="H782">
        <v>-8</v>
      </c>
      <c r="I782">
        <v>6</v>
      </c>
      <c r="J782" t="str">
        <f>HYPERLINK("https://climate.onebuilding.org/WMO_Region_4_North_and_Central_America/USA_United_States_of_America/OR_Oregon/USA_OR_Portland.Intl.AP.726980_TMY3.zip")</f>
        <v>https://climate.onebuilding.org/WMO_Region_4_North_and_Central_America/USA_United_States_of_America/OR_Oregon/USA_OR_Portland.Intl.AP.726980_TMY3.zip</v>
      </c>
    </row>
    <row r="783" spans="1:10" x14ac:dyDescent="0.25">
      <c r="A783" t="s">
        <v>15</v>
      </c>
      <c r="B783" t="s">
        <v>822</v>
      </c>
      <c r="C783" t="s">
        <v>838</v>
      </c>
      <c r="D783">
        <v>726920</v>
      </c>
      <c r="E783" t="s">
        <v>13</v>
      </c>
      <c r="F783">
        <v>44.25</v>
      </c>
      <c r="G783">
        <v>-121.167</v>
      </c>
      <c r="H783">
        <v>-8</v>
      </c>
      <c r="I783">
        <v>933</v>
      </c>
      <c r="J783" t="str">
        <f>HYPERLINK("https://climate.onebuilding.org/WMO_Region_4_North_and_Central_America/USA_United_States_of_America/OR_Oregon/USA_OR_Redmond.Muni.AP-Roberts.Field.726920_TMY3.zip")</f>
        <v>https://climate.onebuilding.org/WMO_Region_4_North_and_Central_America/USA_United_States_of_America/OR_Oregon/USA_OR_Redmond.Muni.AP-Roberts.Field.726920_TMY3.zip</v>
      </c>
    </row>
    <row r="784" spans="1:10" x14ac:dyDescent="0.25">
      <c r="A784" t="s">
        <v>15</v>
      </c>
      <c r="B784" t="s">
        <v>822</v>
      </c>
      <c r="C784" t="s">
        <v>839</v>
      </c>
      <c r="D784">
        <v>726904</v>
      </c>
      <c r="E784" t="s">
        <v>13</v>
      </c>
      <c r="F784">
        <v>43.232999999999997</v>
      </c>
      <c r="G784">
        <v>-123.35</v>
      </c>
      <c r="H784">
        <v>-8</v>
      </c>
      <c r="I784">
        <v>160</v>
      </c>
      <c r="J784" t="str">
        <f>HYPERLINK("https://climate.onebuilding.org/WMO_Region_4_North_and_Central_America/USA_United_States_of_America/OR_Oregon/USA_OR_Roseburg.Rgnl.AP-Carl.Meml.Field.726904_TMY3.zip")</f>
        <v>https://climate.onebuilding.org/WMO_Region_4_North_and_Central_America/USA_United_States_of_America/OR_Oregon/USA_OR_Roseburg.Rgnl.AP-Carl.Meml.Field.726904_TMY3.zip</v>
      </c>
    </row>
    <row r="785" spans="1:10" x14ac:dyDescent="0.25">
      <c r="A785" t="s">
        <v>15</v>
      </c>
      <c r="B785" t="s">
        <v>822</v>
      </c>
      <c r="C785" t="s">
        <v>840</v>
      </c>
      <c r="D785">
        <v>726940</v>
      </c>
      <c r="E785" t="s">
        <v>13</v>
      </c>
      <c r="F785">
        <v>44.9</v>
      </c>
      <c r="G785">
        <v>-123</v>
      </c>
      <c r="H785">
        <v>-8</v>
      </c>
      <c r="I785">
        <v>60</v>
      </c>
      <c r="J785" t="str">
        <f>HYPERLINK("https://climate.onebuilding.org/WMO_Region_4_North_and_Central_America/USA_United_States_of_America/OR_Oregon/USA_OR_Salem.Muni.AP-McNary.Field.726940_TMY3.zip")</f>
        <v>https://climate.onebuilding.org/WMO_Region_4_North_and_Central_America/USA_United_States_of_America/OR_Oregon/USA_OR_Salem.Muni.AP-McNary.Field.726940_TMY3.zip</v>
      </c>
    </row>
    <row r="786" spans="1:10" x14ac:dyDescent="0.25">
      <c r="A786" t="s">
        <v>15</v>
      </c>
      <c r="B786" t="s">
        <v>822</v>
      </c>
      <c r="C786" t="s">
        <v>841</v>
      </c>
      <c r="D786">
        <v>725975</v>
      </c>
      <c r="E786" t="s">
        <v>13</v>
      </c>
      <c r="F786">
        <v>42.6</v>
      </c>
      <c r="G786">
        <v>-123.36499999999999</v>
      </c>
      <c r="H786">
        <v>-8</v>
      </c>
      <c r="I786">
        <v>1168</v>
      </c>
      <c r="J786" t="str">
        <f>HYPERLINK("https://climate.onebuilding.org/WMO_Region_4_North_and_Central_America/USA_United_States_of_America/OR_Oregon/USA_OR_Grants.Pass-Sexton.Summit.725975_TMY3.zip")</f>
        <v>https://climate.onebuilding.org/WMO_Region_4_North_and_Central_America/USA_United_States_of_America/OR_Oregon/USA_OR_Grants.Pass-Sexton.Summit.725975_TMY3.zip</v>
      </c>
    </row>
    <row r="787" spans="1:10" x14ac:dyDescent="0.25">
      <c r="A787" t="s">
        <v>15</v>
      </c>
      <c r="B787" t="s">
        <v>842</v>
      </c>
      <c r="C787" t="s">
        <v>843</v>
      </c>
      <c r="D787">
        <v>725170</v>
      </c>
      <c r="E787" t="s">
        <v>13</v>
      </c>
      <c r="F787">
        <v>40.65</v>
      </c>
      <c r="G787">
        <v>-75.45</v>
      </c>
      <c r="H787">
        <v>-5</v>
      </c>
      <c r="I787">
        <v>119</v>
      </c>
      <c r="J787" t="str">
        <f>HYPERLINK("https://climate.onebuilding.org/WMO_Region_4_North_and_Central_America/USA_United_States_of_America/PA_Pennsylvania/USA_PA_Allentown-Lehigh.Valley.Intl.AP.725170_TMY3.zip")</f>
        <v>https://climate.onebuilding.org/WMO_Region_4_North_and_Central_America/USA_United_States_of_America/PA_Pennsylvania/USA_PA_Allentown-Lehigh.Valley.Intl.AP.725170_TMY3.zip</v>
      </c>
    </row>
    <row r="788" spans="1:10" x14ac:dyDescent="0.25">
      <c r="A788" t="s">
        <v>15</v>
      </c>
      <c r="B788" t="s">
        <v>842</v>
      </c>
      <c r="C788" t="s">
        <v>844</v>
      </c>
      <c r="D788">
        <v>725126</v>
      </c>
      <c r="E788" t="s">
        <v>13</v>
      </c>
      <c r="F788">
        <v>40.299999999999997</v>
      </c>
      <c r="G788">
        <v>-78.316999999999993</v>
      </c>
      <c r="H788">
        <v>-5</v>
      </c>
      <c r="I788">
        <v>451</v>
      </c>
      <c r="J788" t="str">
        <f>HYPERLINK("https://climate.onebuilding.org/WMO_Region_4_North_and_Central_America/USA_United_States_of_America/PA_Pennsylvania/USA_PA_Altoona-Blair.County.AP.725126_TMY3.zip")</f>
        <v>https://climate.onebuilding.org/WMO_Region_4_North_and_Central_America/USA_United_States_of_America/PA_Pennsylvania/USA_PA_Altoona-Blair.County.AP.725126_TMY3.zip</v>
      </c>
    </row>
    <row r="789" spans="1:10" x14ac:dyDescent="0.25">
      <c r="A789" t="s">
        <v>15</v>
      </c>
      <c r="B789" t="s">
        <v>842</v>
      </c>
      <c r="C789" t="s">
        <v>845</v>
      </c>
      <c r="D789">
        <v>725266</v>
      </c>
      <c r="E789" t="s">
        <v>13</v>
      </c>
      <c r="F789">
        <v>41.8</v>
      </c>
      <c r="G789">
        <v>-78.632999999999996</v>
      </c>
      <c r="H789">
        <v>-5</v>
      </c>
      <c r="I789">
        <v>645</v>
      </c>
      <c r="J789" t="str">
        <f>HYPERLINK("https://climate.onebuilding.org/WMO_Region_4_North_and_Central_America/USA_United_States_of_America/PA_Pennsylvania/USA_PA_Bradford.Rgnl.AP.725266_TMY3.zip")</f>
        <v>https://climate.onebuilding.org/WMO_Region_4_North_and_Central_America/USA_United_States_of_America/PA_Pennsylvania/USA_PA_Bradford.Rgnl.AP.725266_TMY3.zip</v>
      </c>
    </row>
    <row r="790" spans="1:10" x14ac:dyDescent="0.25">
      <c r="A790" t="s">
        <v>15</v>
      </c>
      <c r="B790" t="s">
        <v>842</v>
      </c>
      <c r="C790" t="s">
        <v>846</v>
      </c>
      <c r="D790">
        <v>725124</v>
      </c>
      <c r="E790" t="s">
        <v>13</v>
      </c>
      <c r="F790">
        <v>40.783000000000001</v>
      </c>
      <c r="G790">
        <v>-79.95</v>
      </c>
      <c r="H790">
        <v>-5</v>
      </c>
      <c r="I790">
        <v>380</v>
      </c>
      <c r="J790" t="str">
        <f>HYPERLINK("https://climate.onebuilding.org/WMO_Region_4_North_and_Central_America/USA_United_States_of_America/PA_Pennsylvania/USA_PA_Butler.County.AP-Scholter.Field.725124_TMY3.zip")</f>
        <v>https://climate.onebuilding.org/WMO_Region_4_North_and_Central_America/USA_United_States_of_America/PA_Pennsylvania/USA_PA_Butler.County.AP-Scholter.Field.725124_TMY3.zip</v>
      </c>
    </row>
    <row r="791" spans="1:10" x14ac:dyDescent="0.25">
      <c r="A791" t="s">
        <v>15</v>
      </c>
      <c r="B791" t="s">
        <v>842</v>
      </c>
      <c r="C791" t="s">
        <v>847</v>
      </c>
      <c r="D791">
        <v>725125</v>
      </c>
      <c r="E791" t="s">
        <v>13</v>
      </c>
      <c r="F791">
        <v>41.183</v>
      </c>
      <c r="G791">
        <v>-78.900000000000006</v>
      </c>
      <c r="H791">
        <v>-5</v>
      </c>
      <c r="I791">
        <v>553</v>
      </c>
      <c r="J791" t="str">
        <f>HYPERLINK("https://climate.onebuilding.org/WMO_Region_4_North_and_Central_America/USA_United_States_of_America/PA_Pennsylvania/USA_PA_DuBois.Rgnl.AP.725125_TMY3.zip")</f>
        <v>https://climate.onebuilding.org/WMO_Region_4_North_and_Central_America/USA_United_States_of_America/PA_Pennsylvania/USA_PA_DuBois.Rgnl.AP.725125_TMY3.zip</v>
      </c>
    </row>
    <row r="792" spans="1:10" x14ac:dyDescent="0.25">
      <c r="A792" t="s">
        <v>15</v>
      </c>
      <c r="B792" t="s">
        <v>842</v>
      </c>
      <c r="C792" t="s">
        <v>848</v>
      </c>
      <c r="D792">
        <v>725260</v>
      </c>
      <c r="E792" t="s">
        <v>13</v>
      </c>
      <c r="F792">
        <v>42.082999999999998</v>
      </c>
      <c r="G792">
        <v>-80.183000000000007</v>
      </c>
      <c r="H792">
        <v>-5</v>
      </c>
      <c r="I792">
        <v>222</v>
      </c>
      <c r="J792" t="str">
        <f>HYPERLINK("https://climate.onebuilding.org/WMO_Region_4_North_and_Central_America/USA_United_States_of_America/PA_Pennsylvania/USA_PA_Erie.Intl.AP-Ridge.Field.725260_TMY3.zip")</f>
        <v>https://climate.onebuilding.org/WMO_Region_4_North_and_Central_America/USA_United_States_of_America/PA_Pennsylvania/USA_PA_Erie.Intl.AP-Ridge.Field.725260_TMY3.zip</v>
      </c>
    </row>
    <row r="793" spans="1:10" x14ac:dyDescent="0.25">
      <c r="A793" t="s">
        <v>15</v>
      </c>
      <c r="B793" t="s">
        <v>842</v>
      </c>
      <c r="C793" t="s">
        <v>849</v>
      </c>
      <c r="D793">
        <v>725267</v>
      </c>
      <c r="E793" t="s">
        <v>13</v>
      </c>
      <c r="F793">
        <v>41.383000000000003</v>
      </c>
      <c r="G793">
        <v>-79.867000000000004</v>
      </c>
      <c r="H793">
        <v>-5</v>
      </c>
      <c r="I793">
        <v>470</v>
      </c>
      <c r="J793" t="str">
        <f>HYPERLINK("https://climate.onebuilding.org/WMO_Region_4_North_and_Central_America/USA_United_States_of_America/PA_Pennsylvania/USA_PA_Franklin-Venango.AP-Lemberton.Field.725267_TMY3.zip")</f>
        <v>https://climate.onebuilding.org/WMO_Region_4_North_and_Central_America/USA_United_States_of_America/PA_Pennsylvania/USA_PA_Franklin-Venango.AP-Lemberton.Field.725267_TMY3.zip</v>
      </c>
    </row>
    <row r="794" spans="1:10" x14ac:dyDescent="0.25">
      <c r="A794" t="s">
        <v>15</v>
      </c>
      <c r="B794" t="s">
        <v>842</v>
      </c>
      <c r="C794" t="s">
        <v>850</v>
      </c>
      <c r="D794">
        <v>725118</v>
      </c>
      <c r="E794" t="s">
        <v>13</v>
      </c>
      <c r="F794">
        <v>40.216999999999999</v>
      </c>
      <c r="G794">
        <v>-76.849999999999994</v>
      </c>
      <c r="H794">
        <v>-5</v>
      </c>
      <c r="I794">
        <v>104</v>
      </c>
      <c r="J794" t="str">
        <f>HYPERLINK("https://climate.onebuilding.org/WMO_Region_4_North_and_Central_America/USA_United_States_of_America/PA_Pennsylvania/USA_PA_Harrisburg-Capital.City.AP.725118_TMY3.zip")</f>
        <v>https://climate.onebuilding.org/WMO_Region_4_North_and_Central_America/USA_United_States_of_America/PA_Pennsylvania/USA_PA_Harrisburg-Capital.City.AP.725118_TMY3.zip</v>
      </c>
    </row>
    <row r="795" spans="1:10" x14ac:dyDescent="0.25">
      <c r="A795" t="s">
        <v>15</v>
      </c>
      <c r="B795" t="s">
        <v>842</v>
      </c>
      <c r="C795" t="s">
        <v>851</v>
      </c>
      <c r="D795">
        <v>723990</v>
      </c>
      <c r="E795" t="s">
        <v>13</v>
      </c>
      <c r="F795">
        <v>40.200000000000003</v>
      </c>
      <c r="G795">
        <v>-76.766999999999996</v>
      </c>
      <c r="H795">
        <v>-5</v>
      </c>
      <c r="I795">
        <v>92</v>
      </c>
      <c r="J795" t="str">
        <f>HYPERLINK("https://climate.onebuilding.org/WMO_Region_4_North_and_Central_America/USA_United_States_of_America/PA_Pennsylvania/USA_PA_Harrisburg.Intl.AP.723990_TMY3.zip")</f>
        <v>https://climate.onebuilding.org/WMO_Region_4_North_and_Central_America/USA_United_States_of_America/PA_Pennsylvania/USA_PA_Harrisburg.Intl.AP.723990_TMY3.zip</v>
      </c>
    </row>
    <row r="796" spans="1:10" x14ac:dyDescent="0.25">
      <c r="A796" t="s">
        <v>15</v>
      </c>
      <c r="B796" t="s">
        <v>842</v>
      </c>
      <c r="C796" t="s">
        <v>852</v>
      </c>
      <c r="D796">
        <v>725127</v>
      </c>
      <c r="E796" t="s">
        <v>13</v>
      </c>
      <c r="F796">
        <v>40.317</v>
      </c>
      <c r="G796">
        <v>-78.832999999999998</v>
      </c>
      <c r="H796">
        <v>-5</v>
      </c>
      <c r="I796">
        <v>695</v>
      </c>
      <c r="J796" t="str">
        <f>HYPERLINK("https://climate.onebuilding.org/WMO_Region_4_North_and_Central_America/USA_United_States_of_America/PA_Pennsylvania/USA_PA_Johnstown-Cambria.County.AP.725127_TMY3.zip")</f>
        <v>https://climate.onebuilding.org/WMO_Region_4_North_and_Central_America/USA_United_States_of_America/PA_Pennsylvania/USA_PA_Johnstown-Cambria.County.AP.725127_TMY3.zip</v>
      </c>
    </row>
    <row r="797" spans="1:10" x14ac:dyDescent="0.25">
      <c r="A797" t="s">
        <v>15</v>
      </c>
      <c r="B797" t="s">
        <v>842</v>
      </c>
      <c r="C797" t="s">
        <v>853</v>
      </c>
      <c r="D797">
        <v>725116</v>
      </c>
      <c r="E797" t="s">
        <v>13</v>
      </c>
      <c r="F797">
        <v>40.116999999999997</v>
      </c>
      <c r="G797">
        <v>-76.3</v>
      </c>
      <c r="H797">
        <v>-5</v>
      </c>
      <c r="I797">
        <v>126</v>
      </c>
      <c r="J797" t="str">
        <f>HYPERLINK("https://climate.onebuilding.org/WMO_Region_4_North_and_Central_America/USA_United_States_of_America/PA_Pennsylvania/USA_PA_Lancaster.AP.725116_TMY3.zip")</f>
        <v>https://climate.onebuilding.org/WMO_Region_4_North_and_Central_America/USA_United_States_of_America/PA_Pennsylvania/USA_PA_Lancaster.AP.725116_TMY3.zip</v>
      </c>
    </row>
    <row r="798" spans="1:10" x14ac:dyDescent="0.25">
      <c r="A798" t="s">
        <v>15</v>
      </c>
      <c r="B798" t="s">
        <v>842</v>
      </c>
      <c r="C798" t="s">
        <v>854</v>
      </c>
      <c r="D798">
        <v>724085</v>
      </c>
      <c r="E798" t="s">
        <v>13</v>
      </c>
      <c r="F798">
        <v>40.082999999999998</v>
      </c>
      <c r="G798">
        <v>-75.016999999999996</v>
      </c>
      <c r="H798">
        <v>-5</v>
      </c>
      <c r="I798">
        <v>30</v>
      </c>
      <c r="J798" t="str">
        <f>HYPERLINK("https://climate.onebuilding.org/WMO_Region_4_North_and_Central_America/USA_United_States_of_America/PA_Pennsylvania/USA_PA_Philadelphia-Northeast.Philadelphia.AP.724085_TMY3.zip")</f>
        <v>https://climate.onebuilding.org/WMO_Region_4_North_and_Central_America/USA_United_States_of_America/PA_Pennsylvania/USA_PA_Philadelphia-Northeast.Philadelphia.AP.724085_TMY3.zip</v>
      </c>
    </row>
    <row r="799" spans="1:10" x14ac:dyDescent="0.25">
      <c r="A799" t="s">
        <v>15</v>
      </c>
      <c r="B799" t="s">
        <v>842</v>
      </c>
      <c r="C799" t="s">
        <v>855</v>
      </c>
      <c r="D799">
        <v>724080</v>
      </c>
      <c r="E799" t="s">
        <v>13</v>
      </c>
      <c r="F799">
        <v>39.866999999999997</v>
      </c>
      <c r="G799">
        <v>-75.233000000000004</v>
      </c>
      <c r="H799">
        <v>-5</v>
      </c>
      <c r="I799">
        <v>2</v>
      </c>
      <c r="J799" t="str">
        <f>HYPERLINK("https://climate.onebuilding.org/WMO_Region_4_North_and_Central_America/USA_United_States_of_America/PA_Pennsylvania/USA_PA_Philadelphia.Intl.AP.724080_TMY3.zip")</f>
        <v>https://climate.onebuilding.org/WMO_Region_4_North_and_Central_America/USA_United_States_of_America/PA_Pennsylvania/USA_PA_Philadelphia.Intl.AP.724080_TMY3.zip</v>
      </c>
    </row>
    <row r="800" spans="1:10" x14ac:dyDescent="0.25">
      <c r="A800" t="s">
        <v>15</v>
      </c>
      <c r="B800" t="s">
        <v>842</v>
      </c>
      <c r="C800" t="s">
        <v>856</v>
      </c>
      <c r="D800">
        <v>725205</v>
      </c>
      <c r="E800" t="s">
        <v>13</v>
      </c>
      <c r="F800">
        <v>40.35</v>
      </c>
      <c r="G800">
        <v>-79.917000000000002</v>
      </c>
      <c r="H800">
        <v>-5</v>
      </c>
      <c r="I800">
        <v>380</v>
      </c>
      <c r="J800" t="str">
        <f>HYPERLINK("https://climate.onebuilding.org/WMO_Region_4_North_and_Central_America/USA_United_States_of_America/PA_Pennsylvania/USA_PA_Pittsburgh-Allegheny.County.AP.725205_TMY3.zip")</f>
        <v>https://climate.onebuilding.org/WMO_Region_4_North_and_Central_America/USA_United_States_of_America/PA_Pennsylvania/USA_PA_Pittsburgh-Allegheny.County.AP.725205_TMY3.zip</v>
      </c>
    </row>
    <row r="801" spans="1:10" x14ac:dyDescent="0.25">
      <c r="A801" t="s">
        <v>15</v>
      </c>
      <c r="B801" t="s">
        <v>842</v>
      </c>
      <c r="C801" t="s">
        <v>857</v>
      </c>
      <c r="D801">
        <v>725200</v>
      </c>
      <c r="E801" t="s">
        <v>13</v>
      </c>
      <c r="F801">
        <v>40.5</v>
      </c>
      <c r="G801">
        <v>-80.233000000000004</v>
      </c>
      <c r="H801">
        <v>-5</v>
      </c>
      <c r="I801">
        <v>350</v>
      </c>
      <c r="J801" t="str">
        <f>HYPERLINK("https://climate.onebuilding.org/WMO_Region_4_North_and_Central_America/USA_United_States_of_America/PA_Pennsylvania/USA_PA_Pittsburgh.Intl.AP.725200_TMY3.zip")</f>
        <v>https://climate.onebuilding.org/WMO_Region_4_North_and_Central_America/USA_United_States_of_America/PA_Pennsylvania/USA_PA_Pittsburgh.Intl.AP.725200_TMY3.zip</v>
      </c>
    </row>
    <row r="802" spans="1:10" x14ac:dyDescent="0.25">
      <c r="A802" t="s">
        <v>15</v>
      </c>
      <c r="B802" t="s">
        <v>842</v>
      </c>
      <c r="C802" t="s">
        <v>858</v>
      </c>
      <c r="D802">
        <v>725103</v>
      </c>
      <c r="E802" t="s">
        <v>13</v>
      </c>
      <c r="F802">
        <v>40.366999999999997</v>
      </c>
      <c r="G802">
        <v>-75.966999999999999</v>
      </c>
      <c r="H802">
        <v>-5</v>
      </c>
      <c r="I802">
        <v>104</v>
      </c>
      <c r="J802" t="str">
        <f>HYPERLINK("https://climate.onebuilding.org/WMO_Region_4_North_and_Central_America/USA_United_States_of_America/PA_Pennsylvania/USA_PA_Reading.Rgnl.AP-Spaatz.Field.725103_TMY3.zip")</f>
        <v>https://climate.onebuilding.org/WMO_Region_4_North_and_Central_America/USA_United_States_of_America/PA_Pennsylvania/USA_PA_Reading.Rgnl.AP-Spaatz.Field.725103_TMY3.zip</v>
      </c>
    </row>
    <row r="803" spans="1:10" x14ac:dyDescent="0.25">
      <c r="A803" t="s">
        <v>15</v>
      </c>
      <c r="B803" t="s">
        <v>842</v>
      </c>
      <c r="C803" t="s">
        <v>859</v>
      </c>
      <c r="D803">
        <v>725128</v>
      </c>
      <c r="E803" t="s">
        <v>13</v>
      </c>
      <c r="F803">
        <v>40.72</v>
      </c>
      <c r="G803">
        <v>-77.930000000000007</v>
      </c>
      <c r="H803">
        <v>-5</v>
      </c>
      <c r="I803">
        <v>376</v>
      </c>
      <c r="J803" t="str">
        <f>HYPERLINK("https://climate.onebuilding.org/WMO_Region_4_North_and_Central_America/USA_United_States_of_America/PA_Pennsylvania/USA_PA_State.College-Penn.State.Univ.SURFRAD.725128_TMY3.zip")</f>
        <v>https://climate.onebuilding.org/WMO_Region_4_North_and_Central_America/USA_United_States_of_America/PA_Pennsylvania/USA_PA_State.College-Penn.State.Univ.SURFRAD.725128_TMY3.zip</v>
      </c>
    </row>
    <row r="804" spans="1:10" x14ac:dyDescent="0.25">
      <c r="A804" t="s">
        <v>15</v>
      </c>
      <c r="B804" t="s">
        <v>842</v>
      </c>
      <c r="C804" t="s">
        <v>860</v>
      </c>
      <c r="D804">
        <v>725117</v>
      </c>
      <c r="E804" t="s">
        <v>13</v>
      </c>
      <c r="F804">
        <v>40.133000000000003</v>
      </c>
      <c r="G804">
        <v>-80.283000000000001</v>
      </c>
      <c r="H804">
        <v>-5</v>
      </c>
      <c r="I804">
        <v>361</v>
      </c>
      <c r="J804" t="str">
        <f>HYPERLINK("https://climate.onebuilding.org/WMO_Region_4_North_and_Central_America/USA_United_States_of_America/PA_Pennsylvania/USA_PA_Washington.County.AP.725117_TMY3.zip")</f>
        <v>https://climate.onebuilding.org/WMO_Region_4_North_and_Central_America/USA_United_States_of_America/PA_Pennsylvania/USA_PA_Washington.County.AP.725117_TMY3.zip</v>
      </c>
    </row>
    <row r="805" spans="1:10" x14ac:dyDescent="0.25">
      <c r="A805" t="s">
        <v>15</v>
      </c>
      <c r="B805" t="s">
        <v>842</v>
      </c>
      <c r="C805" t="s">
        <v>861</v>
      </c>
      <c r="D805">
        <v>725130</v>
      </c>
      <c r="E805" t="s">
        <v>13</v>
      </c>
      <c r="F805">
        <v>41.332999999999998</v>
      </c>
      <c r="G805">
        <v>-75.733000000000004</v>
      </c>
      <c r="H805">
        <v>-5</v>
      </c>
      <c r="I805">
        <v>284</v>
      </c>
      <c r="J805" t="str">
        <f>HYPERLINK("https://climate.onebuilding.org/WMO_Region_4_North_and_Central_America/USA_United_States_of_America/PA_Pennsylvania/USA_PA_Wilkes-Barre-Scranton.Intl.AP.725130_TMY3.zip")</f>
        <v>https://climate.onebuilding.org/WMO_Region_4_North_and_Central_America/USA_United_States_of_America/PA_Pennsylvania/USA_PA_Wilkes-Barre-Scranton.Intl.AP.725130_TMY3.zip</v>
      </c>
    </row>
    <row r="806" spans="1:10" x14ac:dyDescent="0.25">
      <c r="A806" t="s">
        <v>15</v>
      </c>
      <c r="B806" t="s">
        <v>842</v>
      </c>
      <c r="C806" t="s">
        <v>862</v>
      </c>
      <c r="D806">
        <v>725140</v>
      </c>
      <c r="E806" t="s">
        <v>13</v>
      </c>
      <c r="F806">
        <v>41.24</v>
      </c>
      <c r="G806">
        <v>-76.917000000000002</v>
      </c>
      <c r="H806">
        <v>-5</v>
      </c>
      <c r="I806">
        <v>158</v>
      </c>
      <c r="J806" t="str">
        <f>HYPERLINK("https://climate.onebuilding.org/WMO_Region_4_North_and_Central_America/USA_United_States_of_America/PA_Pennsylvania/USA_PA_Williamsport.Rgnl.AP.725140_TMY3.zip")</f>
        <v>https://climate.onebuilding.org/WMO_Region_4_North_and_Central_America/USA_United_States_of_America/PA_Pennsylvania/USA_PA_Williamsport.Rgnl.AP.725140_TMY3.zip</v>
      </c>
    </row>
    <row r="807" spans="1:10" x14ac:dyDescent="0.25">
      <c r="A807" t="s">
        <v>15</v>
      </c>
      <c r="B807" t="s">
        <v>842</v>
      </c>
      <c r="C807" t="s">
        <v>863</v>
      </c>
      <c r="D807">
        <v>724086</v>
      </c>
      <c r="E807" t="s">
        <v>13</v>
      </c>
      <c r="F807">
        <v>40.200000000000003</v>
      </c>
      <c r="G807">
        <v>-75.150000000000006</v>
      </c>
      <c r="H807">
        <v>-5</v>
      </c>
      <c r="I807">
        <v>102</v>
      </c>
      <c r="J807" t="str">
        <f>HYPERLINK("https://climate.onebuilding.org/WMO_Region_4_North_and_Central_America/USA_United_States_of_America/PA_Pennsylvania/USA_PA_NAS.JRB.Willow.Grove.724086_TMY3.zip")</f>
        <v>https://climate.onebuilding.org/WMO_Region_4_North_and_Central_America/USA_United_States_of_America/PA_Pennsylvania/USA_PA_NAS.JRB.Willow.Grove.724086_TMY3.zip</v>
      </c>
    </row>
    <row r="808" spans="1:10" x14ac:dyDescent="0.25">
      <c r="A808" t="s">
        <v>15</v>
      </c>
      <c r="B808" t="s">
        <v>864</v>
      </c>
      <c r="C808" t="s">
        <v>865</v>
      </c>
      <c r="D808">
        <v>725058</v>
      </c>
      <c r="E808" t="s">
        <v>13</v>
      </c>
      <c r="F808">
        <v>41.167000000000002</v>
      </c>
      <c r="G808">
        <v>-71.582999999999998</v>
      </c>
      <c r="H808">
        <v>-5</v>
      </c>
      <c r="I808">
        <v>34</v>
      </c>
      <c r="J808" t="str">
        <f>HYPERLINK("https://climate.onebuilding.org/WMO_Region_4_North_and_Central_America/USA_United_States_of_America/RI_Rhode_Island/USA_RI_Block.Island.State.AP.725058_TMY3.zip")</f>
        <v>https://climate.onebuilding.org/WMO_Region_4_North_and_Central_America/USA_United_States_of_America/RI_Rhode_Island/USA_RI_Block.Island.State.AP.725058_TMY3.zip</v>
      </c>
    </row>
    <row r="809" spans="1:10" x14ac:dyDescent="0.25">
      <c r="A809" t="s">
        <v>15</v>
      </c>
      <c r="B809" t="s">
        <v>864</v>
      </c>
      <c r="C809" t="s">
        <v>866</v>
      </c>
      <c r="D809">
        <v>725054</v>
      </c>
      <c r="E809" t="s">
        <v>13</v>
      </c>
      <c r="F809">
        <v>41.917000000000002</v>
      </c>
      <c r="G809">
        <v>-71.5</v>
      </c>
      <c r="H809">
        <v>-5</v>
      </c>
      <c r="I809">
        <v>134</v>
      </c>
      <c r="J809" t="str">
        <f>HYPERLINK("https://climate.onebuilding.org/WMO_Region_4_North_and_Central_America/USA_United_States_of_America/RI_Rhode_Island/USA_RI_Pawtucket-North.Central.State.AP.725054_TMY3.zip")</f>
        <v>https://climate.onebuilding.org/WMO_Region_4_North_and_Central_America/USA_United_States_of_America/RI_Rhode_Island/USA_RI_Pawtucket-North.Central.State.AP.725054_TMY3.zip</v>
      </c>
    </row>
    <row r="810" spans="1:10" x14ac:dyDescent="0.25">
      <c r="A810" t="s">
        <v>15</v>
      </c>
      <c r="B810" t="s">
        <v>864</v>
      </c>
      <c r="C810" t="s">
        <v>867</v>
      </c>
      <c r="D810">
        <v>725070</v>
      </c>
      <c r="E810" t="s">
        <v>13</v>
      </c>
      <c r="F810">
        <v>41.716999999999999</v>
      </c>
      <c r="G810">
        <v>-71.433000000000007</v>
      </c>
      <c r="H810">
        <v>-5</v>
      </c>
      <c r="I810">
        <v>16</v>
      </c>
      <c r="J810" t="str">
        <f>HYPERLINK("https://climate.onebuilding.org/WMO_Region_4_North_and_Central_America/USA_United_States_of_America/RI_Rhode_Island/USA_RI_Providence-Green.Meml.State.AP.725070_TMY3.zip")</f>
        <v>https://climate.onebuilding.org/WMO_Region_4_North_and_Central_America/USA_United_States_of_America/RI_Rhode_Island/USA_RI_Providence-Green.Meml.State.AP.725070_TMY3.zip</v>
      </c>
    </row>
    <row r="811" spans="1:10" x14ac:dyDescent="0.25">
      <c r="A811" t="s">
        <v>15</v>
      </c>
      <c r="B811" t="s">
        <v>868</v>
      </c>
      <c r="C811" t="s">
        <v>869</v>
      </c>
      <c r="D811">
        <v>723190</v>
      </c>
      <c r="E811" t="s">
        <v>13</v>
      </c>
      <c r="F811">
        <v>34.5</v>
      </c>
      <c r="G811">
        <v>-82.716999999999999</v>
      </c>
      <c r="H811">
        <v>-5</v>
      </c>
      <c r="I811">
        <v>232</v>
      </c>
      <c r="J811" t="str">
        <f>HYPERLINK("https://climate.onebuilding.org/WMO_Region_4_North_and_Central_America/USA_United_States_of_America/SC_South_Carolina/USA_SC_Anderson.Rgnl.AP.723190_TMY3.zip")</f>
        <v>https://climate.onebuilding.org/WMO_Region_4_North_and_Central_America/USA_United_States_of_America/SC_South_Carolina/USA_SC_Anderson.Rgnl.AP.723190_TMY3.zip</v>
      </c>
    </row>
    <row r="812" spans="1:10" x14ac:dyDescent="0.25">
      <c r="A812" t="s">
        <v>15</v>
      </c>
      <c r="B812" t="s">
        <v>868</v>
      </c>
      <c r="C812" t="s">
        <v>870</v>
      </c>
      <c r="D812">
        <v>722085</v>
      </c>
      <c r="E812" t="s">
        <v>13</v>
      </c>
      <c r="F812">
        <v>32.482999999999997</v>
      </c>
      <c r="G812">
        <v>-80.716999999999999</v>
      </c>
      <c r="H812">
        <v>-5</v>
      </c>
      <c r="I812">
        <v>10</v>
      </c>
      <c r="J812" t="str">
        <f>HYPERLINK("https://climate.onebuilding.org/WMO_Region_4_North_and_Central_America/USA_United_States_of_America/SC_South_Carolina/USA_SC_MCAS.Beaufort.722085_TMY3.zip")</f>
        <v>https://climate.onebuilding.org/WMO_Region_4_North_and_Central_America/USA_United_States_of_America/SC_South_Carolina/USA_SC_MCAS.Beaufort.722085_TMY3.zip</v>
      </c>
    </row>
    <row r="813" spans="1:10" x14ac:dyDescent="0.25">
      <c r="A813" t="s">
        <v>15</v>
      </c>
      <c r="B813" t="s">
        <v>868</v>
      </c>
      <c r="C813" t="s">
        <v>871</v>
      </c>
      <c r="D813">
        <v>722080</v>
      </c>
      <c r="E813" t="s">
        <v>13</v>
      </c>
      <c r="F813">
        <v>32.9</v>
      </c>
      <c r="G813">
        <v>-80.033000000000001</v>
      </c>
      <c r="H813">
        <v>-5</v>
      </c>
      <c r="I813">
        <v>12</v>
      </c>
      <c r="J813" t="str">
        <f>HYPERLINK("https://climate.onebuilding.org/WMO_Region_4_North_and_Central_America/USA_United_States_of_America/SC_South_Carolina/USA_SC_Charleston.Intl.AP.722080_TMY3.zip")</f>
        <v>https://climate.onebuilding.org/WMO_Region_4_North_and_Central_America/USA_United_States_of_America/SC_South_Carolina/USA_SC_Charleston.Intl.AP.722080_TMY3.zip</v>
      </c>
    </row>
    <row r="814" spans="1:10" x14ac:dyDescent="0.25">
      <c r="A814" t="s">
        <v>15</v>
      </c>
      <c r="B814" t="s">
        <v>868</v>
      </c>
      <c r="C814" t="s">
        <v>872</v>
      </c>
      <c r="D814">
        <v>723100</v>
      </c>
      <c r="E814" t="s">
        <v>13</v>
      </c>
      <c r="F814">
        <v>33.950000000000003</v>
      </c>
      <c r="G814">
        <v>-81.117000000000004</v>
      </c>
      <c r="H814">
        <v>-5</v>
      </c>
      <c r="I814">
        <v>65</v>
      </c>
      <c r="J814" t="str">
        <f>HYPERLINK("https://climate.onebuilding.org/WMO_Region_4_North_and_Central_America/USA_United_States_of_America/SC_South_Carolina/USA_SC_Columbia.Metro.AP.723100_TMY3.zip")</f>
        <v>https://climate.onebuilding.org/WMO_Region_4_North_and_Central_America/USA_United_States_of_America/SC_South_Carolina/USA_SC_Columbia.Metro.AP.723100_TMY3.zip</v>
      </c>
    </row>
    <row r="815" spans="1:10" x14ac:dyDescent="0.25">
      <c r="A815" t="s">
        <v>15</v>
      </c>
      <c r="B815" t="s">
        <v>868</v>
      </c>
      <c r="C815" t="s">
        <v>873</v>
      </c>
      <c r="D815">
        <v>723106</v>
      </c>
      <c r="E815" t="s">
        <v>13</v>
      </c>
      <c r="F815">
        <v>34.183</v>
      </c>
      <c r="G815">
        <v>-79.733000000000004</v>
      </c>
      <c r="H815">
        <v>-5</v>
      </c>
      <c r="I815">
        <v>44</v>
      </c>
      <c r="J815" t="str">
        <f>HYPERLINK("https://climate.onebuilding.org/WMO_Region_4_North_and_Central_America/USA_United_States_of_America/SC_South_Carolina/USA_SC_Florence.Rgnl.AP.723106_TMY3.zip")</f>
        <v>https://climate.onebuilding.org/WMO_Region_4_North_and_Central_America/USA_United_States_of_America/SC_South_Carolina/USA_SC_Florence.Rgnl.AP.723106_TMY3.zip</v>
      </c>
    </row>
    <row r="816" spans="1:10" x14ac:dyDescent="0.25">
      <c r="A816" t="s">
        <v>15</v>
      </c>
      <c r="B816" t="s">
        <v>868</v>
      </c>
      <c r="C816" t="s">
        <v>874</v>
      </c>
      <c r="D816">
        <v>723119</v>
      </c>
      <c r="E816" t="s">
        <v>13</v>
      </c>
      <c r="F816">
        <v>34.85</v>
      </c>
      <c r="G816">
        <v>-82.35</v>
      </c>
      <c r="H816">
        <v>-5</v>
      </c>
      <c r="I816">
        <v>319</v>
      </c>
      <c r="J816" t="str">
        <f>HYPERLINK("https://climate.onebuilding.org/WMO_Region_4_North_and_Central_America/USA_United_States_of_America/SC_South_Carolina/USA_SC_Greenville.Downtown.AP.723119_TMY3.zip")</f>
        <v>https://climate.onebuilding.org/WMO_Region_4_North_and_Central_America/USA_United_States_of_America/SC_South_Carolina/USA_SC_Greenville.Downtown.AP.723119_TMY3.zip</v>
      </c>
    </row>
    <row r="817" spans="1:10" x14ac:dyDescent="0.25">
      <c r="A817" t="s">
        <v>15</v>
      </c>
      <c r="B817" t="s">
        <v>868</v>
      </c>
      <c r="C817" t="s">
        <v>875</v>
      </c>
      <c r="D817">
        <v>723120</v>
      </c>
      <c r="E817" t="s">
        <v>13</v>
      </c>
      <c r="F817">
        <v>34.9</v>
      </c>
      <c r="G817">
        <v>-82.216999999999999</v>
      </c>
      <c r="H817">
        <v>-5</v>
      </c>
      <c r="I817">
        <v>292</v>
      </c>
      <c r="J817" t="str">
        <f>HYPERLINK("https://climate.onebuilding.org/WMO_Region_4_North_and_Central_America/USA_United_States_of_America/SC_South_Carolina/USA_SC_Greenville-Spartanburg.Intl.AP.723120_TMY3.zip")</f>
        <v>https://climate.onebuilding.org/WMO_Region_4_North_and_Central_America/USA_United_States_of_America/SC_South_Carolina/USA_SC_Greenville-Spartanburg.Intl.AP.723120_TMY3.zip</v>
      </c>
    </row>
    <row r="818" spans="1:10" x14ac:dyDescent="0.25">
      <c r="A818" t="s">
        <v>15</v>
      </c>
      <c r="B818" t="s">
        <v>868</v>
      </c>
      <c r="C818" t="s">
        <v>876</v>
      </c>
      <c r="D818">
        <v>747910</v>
      </c>
      <c r="E818" t="s">
        <v>13</v>
      </c>
      <c r="F818">
        <v>33.683</v>
      </c>
      <c r="G818">
        <v>-78.933000000000007</v>
      </c>
      <c r="H818">
        <v>-5</v>
      </c>
      <c r="I818">
        <v>8</v>
      </c>
      <c r="J818" t="str">
        <f>HYPERLINK("https://climate.onebuilding.org/WMO_Region_4_North_and_Central_America/USA_United_States_of_America/SC_South_Carolina/USA_SC_Myrtle.Beach.Intl.AP.747910_TMY3.zip")</f>
        <v>https://climate.onebuilding.org/WMO_Region_4_North_and_Central_America/USA_United_States_of_America/SC_South_Carolina/USA_SC_Myrtle.Beach.Intl.AP.747910_TMY3.zip</v>
      </c>
    </row>
    <row r="819" spans="1:10" x14ac:dyDescent="0.25">
      <c r="A819" t="s">
        <v>15</v>
      </c>
      <c r="B819" t="s">
        <v>868</v>
      </c>
      <c r="C819" t="s">
        <v>877</v>
      </c>
      <c r="D819">
        <v>747915</v>
      </c>
      <c r="E819" t="s">
        <v>13</v>
      </c>
      <c r="F819">
        <v>33.817</v>
      </c>
      <c r="G819">
        <v>-78.716999999999999</v>
      </c>
      <c r="H819">
        <v>-5</v>
      </c>
      <c r="I819">
        <v>10</v>
      </c>
      <c r="J819" t="str">
        <f>HYPERLINK("https://climate.onebuilding.org/WMO_Region_4_North_and_Central_America/USA_United_States_of_America/SC_South_Carolina/USA_SC_North.Myrtle.Beach-Grand.Strand.AP.747915_TMY3.zip")</f>
        <v>https://climate.onebuilding.org/WMO_Region_4_North_and_Central_America/USA_United_States_of_America/SC_South_Carolina/USA_SC_North.Myrtle.Beach-Grand.Strand.AP.747915_TMY3.zip</v>
      </c>
    </row>
    <row r="820" spans="1:10" x14ac:dyDescent="0.25">
      <c r="A820" t="s">
        <v>15</v>
      </c>
      <c r="B820" t="s">
        <v>868</v>
      </c>
      <c r="C820" t="s">
        <v>878</v>
      </c>
      <c r="D820">
        <v>747900</v>
      </c>
      <c r="E820" t="s">
        <v>13</v>
      </c>
      <c r="F820">
        <v>33.966999999999999</v>
      </c>
      <c r="G820">
        <v>-80.466999999999999</v>
      </c>
      <c r="H820">
        <v>-5</v>
      </c>
      <c r="I820">
        <v>74</v>
      </c>
      <c r="J820" t="str">
        <f>HYPERLINK("https://climate.onebuilding.org/WMO_Region_4_North_and_Central_America/USA_United_States_of_America/SC_South_Carolina/USA_SC_Sumter-Shaw.AFB.747900_TMY3.zip")</f>
        <v>https://climate.onebuilding.org/WMO_Region_4_North_and_Central_America/USA_United_States_of_America/SC_South_Carolina/USA_SC_Sumter-Shaw.AFB.747900_TMY3.zip</v>
      </c>
    </row>
    <row r="821" spans="1:10" x14ac:dyDescent="0.25">
      <c r="A821" t="s">
        <v>15</v>
      </c>
      <c r="B821" t="s">
        <v>879</v>
      </c>
      <c r="C821" t="s">
        <v>880</v>
      </c>
      <c r="D821">
        <v>726590</v>
      </c>
      <c r="E821" t="s">
        <v>13</v>
      </c>
      <c r="F821">
        <v>45.45</v>
      </c>
      <c r="G821">
        <v>-98.417000000000002</v>
      </c>
      <c r="H821">
        <v>-6</v>
      </c>
      <c r="I821">
        <v>398</v>
      </c>
      <c r="J821" t="str">
        <f>HYPERLINK("https://climate.onebuilding.org/WMO_Region_4_North_and_Central_America/USA_United_States_of_America/SD_South_Dakota/USA_SD_Aberdeen.Rgnl.AP.726590_TMY3.zip")</f>
        <v>https://climate.onebuilding.org/WMO_Region_4_North_and_Central_America/USA_United_States_of_America/SD_South_Dakota/USA_SD_Aberdeen.Rgnl.AP.726590_TMY3.zip</v>
      </c>
    </row>
    <row r="822" spans="1:10" x14ac:dyDescent="0.25">
      <c r="A822" t="s">
        <v>15</v>
      </c>
      <c r="B822" t="s">
        <v>879</v>
      </c>
      <c r="C822" t="s">
        <v>881</v>
      </c>
      <c r="D822">
        <v>726515</v>
      </c>
      <c r="E822" t="s">
        <v>13</v>
      </c>
      <c r="F822">
        <v>44.3</v>
      </c>
      <c r="G822">
        <v>-96.816999999999993</v>
      </c>
      <c r="H822">
        <v>-6</v>
      </c>
      <c r="I822">
        <v>502</v>
      </c>
      <c r="J822" t="str">
        <f>HYPERLINK("https://climate.onebuilding.org/WMO_Region_4_North_and_Central_America/USA_United_States_of_America/SD_South_Dakota/USA_SD_Brookings.Rgnl.AP.726515_TMY3.zip")</f>
        <v>https://climate.onebuilding.org/WMO_Region_4_North_and_Central_America/USA_United_States_of_America/SD_South_Dakota/USA_SD_Brookings.Rgnl.AP.726515_TMY3.zip</v>
      </c>
    </row>
    <row r="823" spans="1:10" x14ac:dyDescent="0.25">
      <c r="A823" t="s">
        <v>15</v>
      </c>
      <c r="B823" t="s">
        <v>879</v>
      </c>
      <c r="C823" t="s">
        <v>882</v>
      </c>
      <c r="D823">
        <v>726625</v>
      </c>
      <c r="E823" t="s">
        <v>13</v>
      </c>
      <c r="F823">
        <v>44.15</v>
      </c>
      <c r="G823">
        <v>-103.1</v>
      </c>
      <c r="H823">
        <v>-7</v>
      </c>
      <c r="I823">
        <v>980</v>
      </c>
      <c r="J823" t="str">
        <f>HYPERLINK("https://climate.onebuilding.org/WMO_Region_4_North_and_Central_America/USA_United_States_of_America/SD_South_Dakota/USA_SD_Rapid.City-Ellsworth.AFB.726625_TMY3.zip")</f>
        <v>https://climate.onebuilding.org/WMO_Region_4_North_and_Central_America/USA_United_States_of_America/SD_South_Dakota/USA_SD_Rapid.City-Ellsworth.AFB.726625_TMY3.zip</v>
      </c>
    </row>
    <row r="824" spans="1:10" x14ac:dyDescent="0.25">
      <c r="A824" t="s">
        <v>15</v>
      </c>
      <c r="B824" t="s">
        <v>879</v>
      </c>
      <c r="C824" t="s">
        <v>883</v>
      </c>
      <c r="D824">
        <v>726540</v>
      </c>
      <c r="E824" t="s">
        <v>13</v>
      </c>
      <c r="F824">
        <v>44.4</v>
      </c>
      <c r="G824">
        <v>-98.216999999999999</v>
      </c>
      <c r="H824">
        <v>-6</v>
      </c>
      <c r="I824">
        <v>390</v>
      </c>
      <c r="J824" t="str">
        <f>HYPERLINK("https://climate.onebuilding.org/WMO_Region_4_North_and_Central_America/USA_United_States_of_America/SD_South_Dakota/USA_SD_Huron.Rgnl.AP.726540_TMY3.zip")</f>
        <v>https://climate.onebuilding.org/WMO_Region_4_North_and_Central_America/USA_United_States_of_America/SD_South_Dakota/USA_SD_Huron.Rgnl.AP.726540_TMY3.zip</v>
      </c>
    </row>
    <row r="825" spans="1:10" x14ac:dyDescent="0.25">
      <c r="A825" t="s">
        <v>15</v>
      </c>
      <c r="B825" t="s">
        <v>879</v>
      </c>
      <c r="C825" t="s">
        <v>884</v>
      </c>
      <c r="D825">
        <v>726545</v>
      </c>
      <c r="E825" t="s">
        <v>13</v>
      </c>
      <c r="F825">
        <v>43.767000000000003</v>
      </c>
      <c r="G825">
        <v>-98.033000000000001</v>
      </c>
      <c r="H825">
        <v>-6</v>
      </c>
      <c r="I825">
        <v>397</v>
      </c>
      <c r="J825" t="str">
        <f>HYPERLINK("https://climate.onebuilding.org/WMO_Region_4_North_and_Central_America/USA_United_States_of_America/SD_South_Dakota/USA_SD_Mitchell.Muni.AP.726545_TMY3.zip")</f>
        <v>https://climate.onebuilding.org/WMO_Region_4_North_and_Central_America/USA_United_States_of_America/SD_South_Dakota/USA_SD_Mitchell.Muni.AP.726545_TMY3.zip</v>
      </c>
    </row>
    <row r="826" spans="1:10" x14ac:dyDescent="0.25">
      <c r="A826" t="s">
        <v>15</v>
      </c>
      <c r="B826" t="s">
        <v>879</v>
      </c>
      <c r="C826" t="s">
        <v>885</v>
      </c>
      <c r="D826">
        <v>726685</v>
      </c>
      <c r="E826" t="s">
        <v>13</v>
      </c>
      <c r="F826">
        <v>45.545999999999999</v>
      </c>
      <c r="G826">
        <v>-100.408</v>
      </c>
      <c r="H826">
        <v>-6</v>
      </c>
      <c r="I826">
        <v>508</v>
      </c>
      <c r="J826" t="str">
        <f>HYPERLINK("https://climate.onebuilding.org/WMO_Region_4_North_and_Central_America/USA_United_States_of_America/SD_South_Dakota/USA_SD_Mobridge.Muni.AP.726685_TMY3.zip")</f>
        <v>https://climate.onebuilding.org/WMO_Region_4_North_and_Central_America/USA_United_States_of_America/SD_South_Dakota/USA_SD_Mobridge.Muni.AP.726685_TMY3.zip</v>
      </c>
    </row>
    <row r="827" spans="1:10" x14ac:dyDescent="0.25">
      <c r="A827" t="s">
        <v>15</v>
      </c>
      <c r="B827" t="s">
        <v>879</v>
      </c>
      <c r="C827" t="s">
        <v>886</v>
      </c>
      <c r="D827">
        <v>726560</v>
      </c>
      <c r="E827" t="s">
        <v>13</v>
      </c>
      <c r="F827">
        <v>44.383000000000003</v>
      </c>
      <c r="G827">
        <v>-100.283</v>
      </c>
      <c r="H827">
        <v>-6</v>
      </c>
      <c r="I827">
        <v>528</v>
      </c>
      <c r="J827" t="str">
        <f>HYPERLINK("https://climate.onebuilding.org/WMO_Region_4_North_and_Central_America/USA_United_States_of_America/SD_South_Dakota/USA_SD_Pierre.Rgnl.AP.726560_TMY3.zip")</f>
        <v>https://climate.onebuilding.org/WMO_Region_4_North_and_Central_America/USA_United_States_of_America/SD_South_Dakota/USA_SD_Pierre.Rgnl.AP.726560_TMY3.zip</v>
      </c>
    </row>
    <row r="828" spans="1:10" x14ac:dyDescent="0.25">
      <c r="A828" t="s">
        <v>15</v>
      </c>
      <c r="B828" t="s">
        <v>879</v>
      </c>
      <c r="C828" t="s">
        <v>887</v>
      </c>
      <c r="D828">
        <v>726620</v>
      </c>
      <c r="E828" t="s">
        <v>13</v>
      </c>
      <c r="F828">
        <v>44.05</v>
      </c>
      <c r="G828">
        <v>-103.05</v>
      </c>
      <c r="H828">
        <v>-7</v>
      </c>
      <c r="I828">
        <v>963</v>
      </c>
      <c r="J828" t="str">
        <f>HYPERLINK("https://climate.onebuilding.org/WMO_Region_4_North_and_Central_America/USA_United_States_of_America/SD_South_Dakota/USA_SD_Rapid.City.Rgnl.AP.726620_TMY3.zip")</f>
        <v>https://climate.onebuilding.org/WMO_Region_4_North_and_Central_America/USA_United_States_of_America/SD_South_Dakota/USA_SD_Rapid.City.Rgnl.AP.726620_TMY3.zip</v>
      </c>
    </row>
    <row r="829" spans="1:10" x14ac:dyDescent="0.25">
      <c r="A829" t="s">
        <v>15</v>
      </c>
      <c r="B829" t="s">
        <v>879</v>
      </c>
      <c r="C829" t="s">
        <v>888</v>
      </c>
      <c r="D829">
        <v>726510</v>
      </c>
      <c r="E829" t="s">
        <v>13</v>
      </c>
      <c r="F829">
        <v>43.582999999999998</v>
      </c>
      <c r="G829">
        <v>-96.75</v>
      </c>
      <c r="H829">
        <v>-6</v>
      </c>
      <c r="I829">
        <v>433</v>
      </c>
      <c r="J829" t="str">
        <f>HYPERLINK("https://climate.onebuilding.org/WMO_Region_4_North_and_Central_America/USA_United_States_of_America/SD_South_Dakota/USA_SD_Sioux.Falls.Rgnl.AP-Foss.Field.726510_TMY3.zip")</f>
        <v>https://climate.onebuilding.org/WMO_Region_4_North_and_Central_America/USA_United_States_of_America/SD_South_Dakota/USA_SD_Sioux.Falls.Rgnl.AP-Foss.Field.726510_TMY3.zip</v>
      </c>
    </row>
    <row r="830" spans="1:10" x14ac:dyDescent="0.25">
      <c r="A830" t="s">
        <v>15</v>
      </c>
      <c r="B830" t="s">
        <v>879</v>
      </c>
      <c r="C830" t="s">
        <v>889</v>
      </c>
      <c r="D830">
        <v>726546</v>
      </c>
      <c r="E830" t="s">
        <v>13</v>
      </c>
      <c r="F830">
        <v>44.933</v>
      </c>
      <c r="G830">
        <v>-97.15</v>
      </c>
      <c r="H830">
        <v>-6</v>
      </c>
      <c r="I830">
        <v>532</v>
      </c>
      <c r="J830" t="str">
        <f>HYPERLINK("https://climate.onebuilding.org/WMO_Region_4_North_and_Central_America/USA_United_States_of_America/SD_South_Dakota/USA_SD_Watertown.Rgnl.AP.726546_TMY3.zip")</f>
        <v>https://climate.onebuilding.org/WMO_Region_4_North_and_Central_America/USA_United_States_of_America/SD_South_Dakota/USA_SD_Watertown.Rgnl.AP.726546_TMY3.zip</v>
      </c>
    </row>
    <row r="831" spans="1:10" x14ac:dyDescent="0.25">
      <c r="A831" t="s">
        <v>15</v>
      </c>
      <c r="B831" t="s">
        <v>879</v>
      </c>
      <c r="C831" t="s">
        <v>890</v>
      </c>
      <c r="D831">
        <v>726525</v>
      </c>
      <c r="E831" t="s">
        <v>13</v>
      </c>
      <c r="F831">
        <v>42.917000000000002</v>
      </c>
      <c r="G831">
        <v>-97.382999999999996</v>
      </c>
      <c r="H831">
        <v>-6</v>
      </c>
      <c r="I831">
        <v>408</v>
      </c>
      <c r="J831" t="str">
        <f>HYPERLINK("https://climate.onebuilding.org/WMO_Region_4_North_and_Central_America/USA_United_States_of_America/SD_South_Dakota/USA_SD_Yankton-Gurney.Muni.AP.726525_TMY3.zip")</f>
        <v>https://climate.onebuilding.org/WMO_Region_4_North_and_Central_America/USA_United_States_of_America/SD_South_Dakota/USA_SD_Yankton-Gurney.Muni.AP.726525_TMY3.zip</v>
      </c>
    </row>
    <row r="832" spans="1:10" x14ac:dyDescent="0.25">
      <c r="A832" t="s">
        <v>15</v>
      </c>
      <c r="B832" t="s">
        <v>891</v>
      </c>
      <c r="C832" t="s">
        <v>892</v>
      </c>
      <c r="D832">
        <v>723350</v>
      </c>
      <c r="E832" t="s">
        <v>13</v>
      </c>
      <c r="F832">
        <v>36.466999999999999</v>
      </c>
      <c r="G832">
        <v>-82.4</v>
      </c>
      <c r="H832">
        <v>-5</v>
      </c>
      <c r="I832">
        <v>457</v>
      </c>
      <c r="J832" t="str">
        <f>HYPERLINK("https://climate.onebuilding.org/WMO_Region_4_North_and_Central_America/USA_United_States_of_America/TN_Tennessee/USA_TN_Bristol-Tri-Cities.Rgnl.AP.723350_TMY3.zip")</f>
        <v>https://climate.onebuilding.org/WMO_Region_4_North_and_Central_America/USA_United_States_of_America/TN_Tennessee/USA_TN_Bristol-Tri-Cities.Rgnl.AP.723350_TMY3.zip</v>
      </c>
    </row>
    <row r="833" spans="1:10" x14ac:dyDescent="0.25">
      <c r="A833" t="s">
        <v>15</v>
      </c>
      <c r="B833" t="s">
        <v>891</v>
      </c>
      <c r="C833" t="s">
        <v>893</v>
      </c>
      <c r="D833">
        <v>723240</v>
      </c>
      <c r="E833" t="s">
        <v>13</v>
      </c>
      <c r="F833">
        <v>35.033000000000001</v>
      </c>
      <c r="G833">
        <v>-85.2</v>
      </c>
      <c r="H833">
        <v>-5</v>
      </c>
      <c r="I833">
        <v>204</v>
      </c>
      <c r="J833" t="str">
        <f>HYPERLINK("https://climate.onebuilding.org/WMO_Region_4_North_and_Central_America/USA_United_States_of_America/TN_Tennessee/USA_TN_Chattanooga.Metro.AP-Lovell.Field.723240_TMY3.zip")</f>
        <v>https://climate.onebuilding.org/WMO_Region_4_North_and_Central_America/USA_United_States_of_America/TN_Tennessee/USA_TN_Chattanooga.Metro.AP-Lovell.Field.723240_TMY3.zip</v>
      </c>
    </row>
    <row r="834" spans="1:10" x14ac:dyDescent="0.25">
      <c r="A834" t="s">
        <v>15</v>
      </c>
      <c r="B834" t="s">
        <v>891</v>
      </c>
      <c r="C834" t="s">
        <v>894</v>
      </c>
      <c r="D834">
        <v>723250</v>
      </c>
      <c r="E834" t="s">
        <v>13</v>
      </c>
      <c r="F834">
        <v>35.950000000000003</v>
      </c>
      <c r="G834">
        <v>-85.082999999999998</v>
      </c>
      <c r="H834">
        <v>-6</v>
      </c>
      <c r="I834">
        <v>569</v>
      </c>
      <c r="J834" t="str">
        <f>HYPERLINK("https://climate.onebuilding.org/WMO_Region_4_North_and_Central_America/USA_United_States_of_America/TN_Tennessee/USA_TN_Crossville.Meml.AP-Whitson.Field.723250_TMY3.zip")</f>
        <v>https://climate.onebuilding.org/WMO_Region_4_North_and_Central_America/USA_United_States_of_America/TN_Tennessee/USA_TN_Crossville.Meml.AP-Whitson.Field.723250_TMY3.zip</v>
      </c>
    </row>
    <row r="835" spans="1:10" x14ac:dyDescent="0.25">
      <c r="A835" t="s">
        <v>15</v>
      </c>
      <c r="B835" t="s">
        <v>891</v>
      </c>
      <c r="C835" t="s">
        <v>895</v>
      </c>
      <c r="D835">
        <v>723347</v>
      </c>
      <c r="E835" t="s">
        <v>13</v>
      </c>
      <c r="F835">
        <v>36.017000000000003</v>
      </c>
      <c r="G835">
        <v>-89.4</v>
      </c>
      <c r="H835">
        <v>-6</v>
      </c>
      <c r="I835">
        <v>103</v>
      </c>
      <c r="J835" t="str">
        <f>HYPERLINK("https://climate.onebuilding.org/WMO_Region_4_North_and_Central_America/USA_United_States_of_America/TN_Tennessee/USA_TN_Dyersburg.Rgnl.AP.723347_TMY3.zip")</f>
        <v>https://climate.onebuilding.org/WMO_Region_4_North_and_Central_America/USA_United_States_of_America/TN_Tennessee/USA_TN_Dyersburg.Rgnl.AP.723347_TMY3.zip</v>
      </c>
    </row>
    <row r="836" spans="1:10" x14ac:dyDescent="0.25">
      <c r="A836" t="s">
        <v>15</v>
      </c>
      <c r="B836" t="s">
        <v>891</v>
      </c>
      <c r="C836" t="s">
        <v>896</v>
      </c>
      <c r="D836">
        <v>723346</v>
      </c>
      <c r="E836" t="s">
        <v>13</v>
      </c>
      <c r="F836">
        <v>35.6</v>
      </c>
      <c r="G836">
        <v>-88.917000000000002</v>
      </c>
      <c r="H836">
        <v>-6</v>
      </c>
      <c r="I836">
        <v>132</v>
      </c>
      <c r="J836" t="str">
        <f>HYPERLINK("https://climate.onebuilding.org/WMO_Region_4_North_and_Central_America/USA_United_States_of_America/TN_Tennessee/USA_TN_Jackson-McKellar-Sipes.Rgnl.AP.723346_TMY3.zip")</f>
        <v>https://climate.onebuilding.org/WMO_Region_4_North_and_Central_America/USA_United_States_of_America/TN_Tennessee/USA_TN_Jackson-McKellar-Sipes.Rgnl.AP.723346_TMY3.zip</v>
      </c>
    </row>
    <row r="837" spans="1:10" x14ac:dyDescent="0.25">
      <c r="A837" t="s">
        <v>15</v>
      </c>
      <c r="B837" t="s">
        <v>891</v>
      </c>
      <c r="C837" t="s">
        <v>897</v>
      </c>
      <c r="D837">
        <v>723260</v>
      </c>
      <c r="E837" t="s">
        <v>13</v>
      </c>
      <c r="F837">
        <v>35.817</v>
      </c>
      <c r="G837">
        <v>-83.983000000000004</v>
      </c>
      <c r="H837">
        <v>-5</v>
      </c>
      <c r="I837">
        <v>293</v>
      </c>
      <c r="J837" t="str">
        <f>HYPERLINK("https://climate.onebuilding.org/WMO_Region_4_North_and_Central_America/USA_United_States_of_America/TN_Tennessee/USA_TN_Knoxville-McGhee.Tyson.AP.723260_TMY3.zip")</f>
        <v>https://climate.onebuilding.org/WMO_Region_4_North_and_Central_America/USA_United_States_of_America/TN_Tennessee/USA_TN_Knoxville-McGhee.Tyson.AP.723260_TMY3.zip</v>
      </c>
    </row>
    <row r="838" spans="1:10" x14ac:dyDescent="0.25">
      <c r="A838" t="s">
        <v>15</v>
      </c>
      <c r="B838" t="s">
        <v>891</v>
      </c>
      <c r="C838" t="s">
        <v>898</v>
      </c>
      <c r="D838">
        <v>723340</v>
      </c>
      <c r="E838" t="s">
        <v>13</v>
      </c>
      <c r="F838">
        <v>35.067</v>
      </c>
      <c r="G838">
        <v>-89.983000000000004</v>
      </c>
      <c r="H838">
        <v>-6</v>
      </c>
      <c r="I838">
        <v>81</v>
      </c>
      <c r="J838" t="str">
        <f>HYPERLINK("https://climate.onebuilding.org/WMO_Region_4_North_and_Central_America/USA_United_States_of_America/TN_Tennessee/USA_TN_Memphis.Intl.AP.723340_TMY3.zip")</f>
        <v>https://climate.onebuilding.org/WMO_Region_4_North_and_Central_America/USA_United_States_of_America/TN_Tennessee/USA_TN_Memphis.Intl.AP.723340_TMY3.zip</v>
      </c>
    </row>
    <row r="839" spans="1:10" x14ac:dyDescent="0.25">
      <c r="A839" t="s">
        <v>15</v>
      </c>
      <c r="B839" t="s">
        <v>891</v>
      </c>
      <c r="C839" t="s">
        <v>899</v>
      </c>
      <c r="D839">
        <v>723270</v>
      </c>
      <c r="E839" t="s">
        <v>13</v>
      </c>
      <c r="F839">
        <v>36.116999999999997</v>
      </c>
      <c r="G839">
        <v>-86.683000000000007</v>
      </c>
      <c r="H839">
        <v>-6</v>
      </c>
      <c r="I839">
        <v>177</v>
      </c>
      <c r="J839" t="str">
        <f>HYPERLINK("https://climate.onebuilding.org/WMO_Region_4_North_and_Central_America/USA_United_States_of_America/TN_Tennessee/USA_TN_Nashville.Intl.AP.723270_TMY3.zip")</f>
        <v>https://climate.onebuilding.org/WMO_Region_4_North_and_Central_America/USA_United_States_of_America/TN_Tennessee/USA_TN_Nashville.Intl.AP.723270_TMY3.zip</v>
      </c>
    </row>
    <row r="840" spans="1:10" x14ac:dyDescent="0.25">
      <c r="A840" t="s">
        <v>15</v>
      </c>
      <c r="B840" t="s">
        <v>900</v>
      </c>
      <c r="C840" t="s">
        <v>901</v>
      </c>
      <c r="D840">
        <v>720965</v>
      </c>
      <c r="E840" t="s">
        <v>13</v>
      </c>
      <c r="F840">
        <v>32.433</v>
      </c>
      <c r="G840">
        <v>-99.85</v>
      </c>
      <c r="H840">
        <v>-6</v>
      </c>
      <c r="I840">
        <v>545</v>
      </c>
      <c r="J840" t="str">
        <f>HYPERLINK("https://climate.onebuilding.org/WMO_Region_4_North_and_Central_America/USA_United_States_of_America/TX_Texas/USA_TX_Abilene-Dyess.AFB.690190_TMY3.zip")</f>
        <v>https://climate.onebuilding.org/WMO_Region_4_North_and_Central_America/USA_United_States_of_America/TX_Texas/USA_TX_Abilene-Dyess.AFB.690190_TMY3.zip</v>
      </c>
    </row>
    <row r="841" spans="1:10" x14ac:dyDescent="0.25">
      <c r="A841" t="s">
        <v>15</v>
      </c>
      <c r="B841" t="s">
        <v>900</v>
      </c>
      <c r="C841" t="s">
        <v>902</v>
      </c>
      <c r="D841">
        <v>722660</v>
      </c>
      <c r="E841" t="s">
        <v>13</v>
      </c>
      <c r="F841">
        <v>32.412999999999997</v>
      </c>
      <c r="G841">
        <v>-99.683000000000007</v>
      </c>
      <c r="H841">
        <v>-6</v>
      </c>
      <c r="I841">
        <v>530</v>
      </c>
      <c r="J841" t="str">
        <f>HYPERLINK("https://climate.onebuilding.org/WMO_Region_4_North_and_Central_America/USA_United_States_of_America/TX_Texas/USA_TX_Abilene.Rgnl.AP.722660_TMY3.zip")</f>
        <v>https://climate.onebuilding.org/WMO_Region_4_North_and_Central_America/USA_United_States_of_America/TX_Texas/USA_TX_Abilene.Rgnl.AP.722660_TMY3.zip</v>
      </c>
    </row>
    <row r="842" spans="1:10" x14ac:dyDescent="0.25">
      <c r="A842" t="s">
        <v>15</v>
      </c>
      <c r="B842" t="s">
        <v>900</v>
      </c>
      <c r="C842" t="s">
        <v>903</v>
      </c>
      <c r="D842">
        <v>722517</v>
      </c>
      <c r="E842" t="s">
        <v>13</v>
      </c>
      <c r="F842">
        <v>27.733000000000001</v>
      </c>
      <c r="G842">
        <v>-98.033000000000001</v>
      </c>
      <c r="H842">
        <v>-6</v>
      </c>
      <c r="I842">
        <v>53</v>
      </c>
      <c r="J842" t="str">
        <f>HYPERLINK("https://climate.onebuilding.org/WMO_Region_4_North_and_Central_America/USA_United_States_of_America/TX_Texas/USA_TX_Alice.Intl.AP.722517_TMY3.zip")</f>
        <v>https://climate.onebuilding.org/WMO_Region_4_North_and_Central_America/USA_United_States_of_America/TX_Texas/USA_TX_Alice.Intl.AP.722517_TMY3.zip</v>
      </c>
    </row>
    <row r="843" spans="1:10" x14ac:dyDescent="0.25">
      <c r="A843" t="s">
        <v>15</v>
      </c>
      <c r="B843" t="s">
        <v>900</v>
      </c>
      <c r="C843" t="s">
        <v>904</v>
      </c>
      <c r="D843">
        <v>723630</v>
      </c>
      <c r="E843" t="s">
        <v>13</v>
      </c>
      <c r="F843">
        <v>35.216999999999999</v>
      </c>
      <c r="G843">
        <v>-101.708</v>
      </c>
      <c r="H843">
        <v>-6</v>
      </c>
      <c r="I843">
        <v>1068</v>
      </c>
      <c r="J843" t="str">
        <f>HYPERLINK("https://climate.onebuilding.org/WMO_Region_4_North_and_Central_America/USA_United_States_of_America/TX_Texas/USA_TX_Amarillo-Husband.Amarillo.Intl.AP.723630_TMY3.zip")</f>
        <v>https://climate.onebuilding.org/WMO_Region_4_North_and_Central_America/USA_United_States_of_America/TX_Texas/USA_TX_Amarillo-Husband.Amarillo.Intl.AP.723630_TMY3.zip</v>
      </c>
    </row>
    <row r="844" spans="1:10" x14ac:dyDescent="0.25">
      <c r="A844" t="s">
        <v>15</v>
      </c>
      <c r="B844" t="s">
        <v>900</v>
      </c>
      <c r="C844" t="s">
        <v>905</v>
      </c>
      <c r="D844">
        <v>722544</v>
      </c>
      <c r="E844" t="s">
        <v>13</v>
      </c>
      <c r="F844">
        <v>30.315000000000001</v>
      </c>
      <c r="G844">
        <v>-97.759</v>
      </c>
      <c r="H844">
        <v>-6</v>
      </c>
      <c r="I844">
        <v>198</v>
      </c>
      <c r="J844" t="str">
        <f>HYPERLINK("https://climate.onebuilding.org/WMO_Region_4_North_and_Central_America/USA_United_States_of_America/TX_Texas/USA_TX_Austin-Camp.Mabry.722544_TMY3.zip")</f>
        <v>https://climate.onebuilding.org/WMO_Region_4_North_and_Central_America/USA_United_States_of_America/TX_Texas/USA_TX_Austin-Camp.Mabry.722544_TMY3.zip</v>
      </c>
    </row>
    <row r="845" spans="1:10" x14ac:dyDescent="0.25">
      <c r="A845" t="s">
        <v>15</v>
      </c>
      <c r="B845" t="s">
        <v>900</v>
      </c>
      <c r="C845" t="s">
        <v>906</v>
      </c>
      <c r="D845">
        <v>722540</v>
      </c>
      <c r="E845" t="s">
        <v>13</v>
      </c>
      <c r="F845">
        <v>30.297999999999998</v>
      </c>
      <c r="G845">
        <v>-97.701999999999998</v>
      </c>
      <c r="H845">
        <v>-6</v>
      </c>
      <c r="I845">
        <v>213</v>
      </c>
      <c r="J845" t="str">
        <f>HYPERLINK("https://climate.onebuilding.org/WMO_Region_4_North_and_Central_America/USA_United_States_of_America/TX_Texas/USA_TX_Austin-Mueller.Muni.AP.722540_TMY3.zip")</f>
        <v>https://climate.onebuilding.org/WMO_Region_4_North_and_Central_America/USA_United_States_of_America/TX_Texas/USA_TX_Austin-Mueller.Muni.AP.722540_TMY3.zip</v>
      </c>
    </row>
    <row r="846" spans="1:10" x14ac:dyDescent="0.25">
      <c r="A846" t="s">
        <v>15</v>
      </c>
      <c r="B846" t="s">
        <v>900</v>
      </c>
      <c r="C846" t="s">
        <v>907</v>
      </c>
      <c r="D846">
        <v>722500</v>
      </c>
      <c r="E846" t="s">
        <v>13</v>
      </c>
      <c r="F846">
        <v>25.9</v>
      </c>
      <c r="G846">
        <v>-97.433000000000007</v>
      </c>
      <c r="H846">
        <v>-6</v>
      </c>
      <c r="I846">
        <v>6</v>
      </c>
      <c r="J846" t="str">
        <f>HYPERLINK("https://climate.onebuilding.org/WMO_Region_4_North_and_Central_America/USA_United_States_of_America/TX_Texas/USA_TX_Brownsville-South.Padre.Island.Intl.AP.722500_TMY3.zip")</f>
        <v>https://climate.onebuilding.org/WMO_Region_4_North_and_Central_America/USA_United_States_of_America/TX_Texas/USA_TX_Brownsville-South.Padre.Island.Intl.AP.722500_TMY3.zip</v>
      </c>
    </row>
    <row r="847" spans="1:10" x14ac:dyDescent="0.25">
      <c r="A847" t="s">
        <v>15</v>
      </c>
      <c r="B847" t="s">
        <v>900</v>
      </c>
      <c r="C847" t="s">
        <v>908</v>
      </c>
      <c r="D847">
        <v>723660</v>
      </c>
      <c r="E847" t="s">
        <v>13</v>
      </c>
      <c r="F847">
        <v>34.433</v>
      </c>
      <c r="G847">
        <v>-100.283</v>
      </c>
      <c r="H847">
        <v>-6</v>
      </c>
      <c r="I847">
        <v>595</v>
      </c>
      <c r="J847" t="str">
        <f>HYPERLINK("https://climate.onebuilding.org/WMO_Region_4_North_and_Central_America/USA_United_States_of_America/TX_Texas/USA_TX_Childress.Muni.AP.723660_TMY3.zip")</f>
        <v>https://climate.onebuilding.org/WMO_Region_4_North_and_Central_America/USA_United_States_of_America/TX_Texas/USA_TX_Childress.Muni.AP.723660_TMY3.zip</v>
      </c>
    </row>
    <row r="848" spans="1:10" x14ac:dyDescent="0.25">
      <c r="A848" t="s">
        <v>15</v>
      </c>
      <c r="B848" t="s">
        <v>900</v>
      </c>
      <c r="C848" t="s">
        <v>909</v>
      </c>
      <c r="D848">
        <v>747460</v>
      </c>
      <c r="E848" t="s">
        <v>13</v>
      </c>
      <c r="F848">
        <v>30.582999999999998</v>
      </c>
      <c r="G848">
        <v>-96.367000000000004</v>
      </c>
      <c r="H848">
        <v>-6</v>
      </c>
      <c r="I848">
        <v>96</v>
      </c>
      <c r="J848" t="str">
        <f>HYPERLINK("https://climate.onebuilding.org/WMO_Region_4_North_and_Central_America/USA_United_States_of_America/TX_Texas/USA_TX_College.Station-Easterwood.AP.747460_TMY3.zip")</f>
        <v>https://climate.onebuilding.org/WMO_Region_4_North_and_Central_America/USA_United_States_of_America/TX_Texas/USA_TX_College.Station-Easterwood.AP.747460_TMY3.zip</v>
      </c>
    </row>
    <row r="849" spans="1:10" x14ac:dyDescent="0.25">
      <c r="A849" t="s">
        <v>15</v>
      </c>
      <c r="B849" t="s">
        <v>900</v>
      </c>
      <c r="C849" t="s">
        <v>910</v>
      </c>
      <c r="D849">
        <v>722510</v>
      </c>
      <c r="E849" t="s">
        <v>13</v>
      </c>
      <c r="F849">
        <v>27.766999999999999</v>
      </c>
      <c r="G849">
        <v>-97.504000000000005</v>
      </c>
      <c r="H849">
        <v>-6</v>
      </c>
      <c r="I849">
        <v>6</v>
      </c>
      <c r="J849" t="str">
        <f>HYPERLINK("https://climate.onebuilding.org/WMO_Region_4_North_and_Central_America/USA_United_States_of_America/TX_Texas/USA_TX_Corpus.Christi.Intl.AP.722510_TMY3.zip")</f>
        <v>https://climate.onebuilding.org/WMO_Region_4_North_and_Central_America/USA_United_States_of_America/TX_Texas/USA_TX_Corpus.Christi.Intl.AP.722510_TMY3.zip</v>
      </c>
    </row>
    <row r="850" spans="1:10" x14ac:dyDescent="0.25">
      <c r="A850" t="s">
        <v>15</v>
      </c>
      <c r="B850" t="s">
        <v>900</v>
      </c>
      <c r="C850" t="s">
        <v>911</v>
      </c>
      <c r="D850">
        <v>722515</v>
      </c>
      <c r="E850" t="s">
        <v>13</v>
      </c>
      <c r="F850">
        <v>27.683</v>
      </c>
      <c r="G850">
        <v>-97.283000000000001</v>
      </c>
      <c r="H850">
        <v>-6</v>
      </c>
      <c r="I850">
        <v>6</v>
      </c>
      <c r="J850" t="str">
        <f>HYPERLINK("https://climate.onebuilding.org/WMO_Region_4_North_and_Central_America/USA_United_States_of_America/TX_Texas/USA_TX_NAS.Corpus.Christi-Truax.Field.722515_TMY3.zip")</f>
        <v>https://climate.onebuilding.org/WMO_Region_4_North_and_Central_America/USA_United_States_of_America/TX_Texas/USA_TX_NAS.Corpus.Christi-Truax.Field.722515_TMY3.zip</v>
      </c>
    </row>
    <row r="851" spans="1:10" x14ac:dyDescent="0.25">
      <c r="A851" t="s">
        <v>15</v>
      </c>
      <c r="B851" t="s">
        <v>900</v>
      </c>
      <c r="C851" t="s">
        <v>912</v>
      </c>
      <c r="D851">
        <v>722526</v>
      </c>
      <c r="E851" t="s">
        <v>13</v>
      </c>
      <c r="F851">
        <v>28.45</v>
      </c>
      <c r="G851">
        <v>-99.216999999999999</v>
      </c>
      <c r="H851">
        <v>-6</v>
      </c>
      <c r="I851">
        <v>141</v>
      </c>
      <c r="J851" t="str">
        <f>HYPERLINK("https://climate.onebuilding.org/WMO_Region_4_North_and_Central_America/USA_United_States_of_America/TX_Texas/USA_TX_Cotulla.Muni.AP.722526_TMY3.zip")</f>
        <v>https://climate.onebuilding.org/WMO_Region_4_North_and_Central_America/USA_United_States_of_America/TX_Texas/USA_TX_Cotulla.Muni.AP.722526_TMY3.zip</v>
      </c>
    </row>
    <row r="852" spans="1:10" x14ac:dyDescent="0.25">
      <c r="A852" t="s">
        <v>15</v>
      </c>
      <c r="B852" t="s">
        <v>900</v>
      </c>
      <c r="C852" t="s">
        <v>913</v>
      </c>
      <c r="D852">
        <v>722587</v>
      </c>
      <c r="E852" t="s">
        <v>13</v>
      </c>
      <c r="F852">
        <v>33.633000000000003</v>
      </c>
      <c r="G852">
        <v>-95.45</v>
      </c>
      <c r="H852">
        <v>-6</v>
      </c>
      <c r="I852">
        <v>171</v>
      </c>
      <c r="J852" t="str">
        <f>HYPERLINK("https://climate.onebuilding.org/WMO_Region_4_North_and_Central_America/USA_United_States_of_America/TX_Texas/USA_TX_Paris-Cox.Field.722587_TMY3.zip")</f>
        <v>https://climate.onebuilding.org/WMO_Region_4_North_and_Central_America/USA_United_States_of_America/TX_Texas/USA_TX_Paris-Cox.Field.722587_TMY3.zip</v>
      </c>
    </row>
    <row r="853" spans="1:10" x14ac:dyDescent="0.25">
      <c r="A853" t="s">
        <v>15</v>
      </c>
      <c r="B853" t="s">
        <v>900</v>
      </c>
      <c r="C853" t="s">
        <v>914</v>
      </c>
      <c r="D853">
        <v>747360</v>
      </c>
      <c r="E853" t="s">
        <v>13</v>
      </c>
      <c r="F853">
        <v>36.017000000000003</v>
      </c>
      <c r="G853">
        <v>-102.55</v>
      </c>
      <c r="H853">
        <v>-6</v>
      </c>
      <c r="I853">
        <v>1216</v>
      </c>
      <c r="J853" t="str">
        <f>HYPERLINK("https://climate.onebuilding.org/WMO_Region_4_North_and_Central_America/USA_United_States_of_America/TX_Texas/USA_TX_Dalhart.Muni.AP.747360_TMY3.zip")</f>
        <v>https://climate.onebuilding.org/WMO_Region_4_North_and_Central_America/USA_United_States_of_America/TX_Texas/USA_TX_Dalhart.Muni.AP.747360_TMY3.zip</v>
      </c>
    </row>
    <row r="854" spans="1:10" x14ac:dyDescent="0.25">
      <c r="A854" t="s">
        <v>15</v>
      </c>
      <c r="B854" t="s">
        <v>900</v>
      </c>
      <c r="C854" t="s">
        <v>915</v>
      </c>
      <c r="D854">
        <v>722598</v>
      </c>
      <c r="E854" t="s">
        <v>13</v>
      </c>
      <c r="F854">
        <v>32.966999999999999</v>
      </c>
      <c r="G854">
        <v>-96.832999999999998</v>
      </c>
      <c r="H854">
        <v>-6</v>
      </c>
      <c r="I854">
        <v>196</v>
      </c>
      <c r="J854" t="str">
        <f>HYPERLINK("https://climate.onebuilding.org/WMO_Region_4_North_and_Central_America/USA_United_States_of_America/TX_Texas/USA_TX_Dallas-Addison.AP.722598_TMY3.zip")</f>
        <v>https://climate.onebuilding.org/WMO_Region_4_North_and_Central_America/USA_United_States_of_America/TX_Texas/USA_TX_Dallas-Addison.AP.722598_TMY3.zip</v>
      </c>
    </row>
    <row r="855" spans="1:10" x14ac:dyDescent="0.25">
      <c r="A855" t="s">
        <v>15</v>
      </c>
      <c r="B855" t="s">
        <v>900</v>
      </c>
      <c r="C855" t="s">
        <v>916</v>
      </c>
      <c r="D855">
        <v>722590</v>
      </c>
      <c r="E855" t="s">
        <v>13</v>
      </c>
      <c r="F855">
        <v>32.9</v>
      </c>
      <c r="G855">
        <v>-97.016999999999996</v>
      </c>
      <c r="H855">
        <v>-6</v>
      </c>
      <c r="I855">
        <v>171</v>
      </c>
      <c r="J855" t="str">
        <f>HYPERLINK("https://climate.onebuilding.org/WMO_Region_4_North_and_Central_America/USA_United_States_of_America/TX_Texas/USA_TX_Dallas-Fort.Worth.Intl.AP.722590_TMY3.zip")</f>
        <v>https://climate.onebuilding.org/WMO_Region_4_North_and_Central_America/USA_United_States_of_America/TX_Texas/USA_TX_Dallas-Fort.Worth.Intl.AP.722590_TMY3.zip</v>
      </c>
    </row>
    <row r="856" spans="1:10" x14ac:dyDescent="0.25">
      <c r="A856" t="s">
        <v>15</v>
      </c>
      <c r="B856" t="s">
        <v>900</v>
      </c>
      <c r="C856" t="s">
        <v>917</v>
      </c>
      <c r="D856">
        <v>722580</v>
      </c>
      <c r="E856" t="s">
        <v>13</v>
      </c>
      <c r="F856">
        <v>32.85</v>
      </c>
      <c r="G856">
        <v>-96.85</v>
      </c>
      <c r="H856">
        <v>-6</v>
      </c>
      <c r="I856">
        <v>134</v>
      </c>
      <c r="J856" t="str">
        <f>HYPERLINK("https://climate.onebuilding.org/WMO_Region_4_North_and_Central_America/USA_United_States_of_America/TX_Texas/USA_TX_Dallas.Love.Field.722580_TMY3.zip")</f>
        <v>https://climate.onebuilding.org/WMO_Region_4_North_and_Central_America/USA_United_States_of_America/TX_Texas/USA_TX_Dallas.Love.Field.722580_TMY3.zip</v>
      </c>
    </row>
    <row r="857" spans="1:10" x14ac:dyDescent="0.25">
      <c r="A857" t="s">
        <v>15</v>
      </c>
      <c r="B857" t="s">
        <v>900</v>
      </c>
      <c r="C857" t="s">
        <v>918</v>
      </c>
      <c r="D857">
        <v>722599</v>
      </c>
      <c r="E857" t="s">
        <v>13</v>
      </c>
      <c r="F857">
        <v>32.683</v>
      </c>
      <c r="G857">
        <v>-96.867000000000004</v>
      </c>
      <c r="H857">
        <v>-6</v>
      </c>
      <c r="I857">
        <v>201</v>
      </c>
      <c r="J857" t="str">
        <f>HYPERLINK("https://climate.onebuilding.org/WMO_Region_4_North_and_Central_America/USA_United_States_of_America/TX_Texas/USA_TX_Dallas.Exec.AP.722599_TMY3.zip")</f>
        <v>https://climate.onebuilding.org/WMO_Region_4_North_and_Central_America/USA_United_States_of_America/TX_Texas/USA_TX_Dallas.Exec.AP.722599_TMY3.zip</v>
      </c>
    </row>
    <row r="858" spans="1:10" x14ac:dyDescent="0.25">
      <c r="A858" t="s">
        <v>15</v>
      </c>
      <c r="B858" t="s">
        <v>900</v>
      </c>
      <c r="C858" t="s">
        <v>919</v>
      </c>
      <c r="D858">
        <v>722615</v>
      </c>
      <c r="E858" t="s">
        <v>13</v>
      </c>
      <c r="F858">
        <v>29.367000000000001</v>
      </c>
      <c r="G858">
        <v>-100.783</v>
      </c>
      <c r="H858">
        <v>-6</v>
      </c>
      <c r="I858">
        <v>327</v>
      </c>
      <c r="J858" t="str">
        <f>HYPERLINK("https://climate.onebuilding.org/WMO_Region_4_North_and_Central_America/USA_United_States_of_America/TX_Texas/USA_TX_Del.Rio-Laughlin.AFB.722615_TMY3.zip")</f>
        <v>https://climate.onebuilding.org/WMO_Region_4_North_and_Central_America/USA_United_States_of_America/TX_Texas/USA_TX_Del.Rio-Laughlin.AFB.722615_TMY3.zip</v>
      </c>
    </row>
    <row r="859" spans="1:10" x14ac:dyDescent="0.25">
      <c r="A859" t="s">
        <v>15</v>
      </c>
      <c r="B859" t="s">
        <v>900</v>
      </c>
      <c r="C859" t="s">
        <v>920</v>
      </c>
      <c r="D859">
        <v>722610</v>
      </c>
      <c r="E859" t="s">
        <v>13</v>
      </c>
      <c r="F859">
        <v>29.38</v>
      </c>
      <c r="G859">
        <v>-100.91</v>
      </c>
      <c r="H859">
        <v>-6</v>
      </c>
      <c r="I859">
        <v>308</v>
      </c>
      <c r="J859" t="str">
        <f>HYPERLINK("https://climate.onebuilding.org/WMO_Region_4_North_and_Central_America/USA_United_States_of_America/TX_Texas/USA_TX_Del.Rio.Intl.AP.722610_TMY3.zip")</f>
        <v>https://climate.onebuilding.org/WMO_Region_4_North_and_Central_America/USA_United_States_of_America/TX_Texas/USA_TX_Del.Rio.Intl.AP.722610_TMY3.zip</v>
      </c>
    </row>
    <row r="860" spans="1:10" x14ac:dyDescent="0.25">
      <c r="A860" t="s">
        <v>15</v>
      </c>
      <c r="B860" t="s">
        <v>900</v>
      </c>
      <c r="C860" t="s">
        <v>921</v>
      </c>
      <c r="D860">
        <v>722577</v>
      </c>
      <c r="E860" t="s">
        <v>13</v>
      </c>
      <c r="F860">
        <v>31.15</v>
      </c>
      <c r="G860">
        <v>-97.4</v>
      </c>
      <c r="H860">
        <v>-6</v>
      </c>
      <c r="I860">
        <v>213</v>
      </c>
      <c r="J860" t="str">
        <f>HYPERLINK("https://climate.onebuilding.org/WMO_Region_4_North_and_Central_America/USA_United_States_of_America/TX_Texas/USA_TX_Temple-Draughon-Miller.Central.Texas.Rgnl.AP.722577_TMY3.zip")</f>
        <v>https://climate.onebuilding.org/WMO_Region_4_North_and_Central_America/USA_United_States_of_America/TX_Texas/USA_TX_Temple-Draughon-Miller.Central.Texas.Rgnl.AP.722577_TMY3.zip</v>
      </c>
    </row>
    <row r="861" spans="1:10" x14ac:dyDescent="0.25">
      <c r="A861" t="s">
        <v>15</v>
      </c>
      <c r="B861" t="s">
        <v>900</v>
      </c>
      <c r="C861" t="s">
        <v>922</v>
      </c>
      <c r="D861">
        <v>722700</v>
      </c>
      <c r="E861" t="s">
        <v>13</v>
      </c>
      <c r="F861">
        <v>31.8</v>
      </c>
      <c r="G861">
        <v>-106.4</v>
      </c>
      <c r="H861">
        <v>-7</v>
      </c>
      <c r="I861">
        <v>1186</v>
      </c>
      <c r="J861" t="str">
        <f>HYPERLINK("https://climate.onebuilding.org/WMO_Region_4_North_and_Central_America/USA_United_States_of_America/TX_Texas/USA_TX_El.Paso.Intl.AP.722700_TMY3.zip")</f>
        <v>https://climate.onebuilding.org/WMO_Region_4_North_and_Central_America/USA_United_States_of_America/TX_Texas/USA_TX_El.Paso.Intl.AP.722700_TMY3.zip</v>
      </c>
    </row>
    <row r="862" spans="1:10" x14ac:dyDescent="0.25">
      <c r="A862" t="s">
        <v>15</v>
      </c>
      <c r="B862" t="s">
        <v>900</v>
      </c>
      <c r="C862" t="s">
        <v>923</v>
      </c>
      <c r="D862">
        <v>722570</v>
      </c>
      <c r="E862" t="s">
        <v>13</v>
      </c>
      <c r="F862">
        <v>31.132999999999999</v>
      </c>
      <c r="G862">
        <v>-97.716999999999999</v>
      </c>
      <c r="H862">
        <v>-6</v>
      </c>
      <c r="I862">
        <v>280</v>
      </c>
      <c r="J862" t="str">
        <f>HYPERLINK("https://climate.onebuilding.org/WMO_Region_4_North_and_Central_America/USA_United_States_of_America/TX_Texas/USA_TX_Killeen-Fort.Hood-Hood.AAF.722570_TMY3.zip")</f>
        <v>https://climate.onebuilding.org/WMO_Region_4_North_and_Central_America/USA_United_States_of_America/TX_Texas/USA_TX_Killeen-Fort.Hood-Hood.AAF.722570_TMY3.zip</v>
      </c>
    </row>
    <row r="863" spans="1:10" x14ac:dyDescent="0.25">
      <c r="A863" t="s">
        <v>15</v>
      </c>
      <c r="B863" t="s">
        <v>900</v>
      </c>
      <c r="C863" t="s">
        <v>924</v>
      </c>
      <c r="D863">
        <v>722594</v>
      </c>
      <c r="E863" t="s">
        <v>13</v>
      </c>
      <c r="F863">
        <v>32.982999999999997</v>
      </c>
      <c r="G863">
        <v>-97.316999999999993</v>
      </c>
      <c r="H863">
        <v>-6</v>
      </c>
      <c r="I863">
        <v>226</v>
      </c>
      <c r="J863" t="str">
        <f>HYPERLINK("https://climate.onebuilding.org/WMO_Region_4_North_and_Central_America/USA_United_States_of_America/TX_Texas/USA_TX_Fort.Worth.Alliance.AP.722594_TMY3.zip")</f>
        <v>https://climate.onebuilding.org/WMO_Region_4_North_and_Central_America/USA_United_States_of_America/TX_Texas/USA_TX_Fort.Worth.Alliance.AP.722594_TMY3.zip</v>
      </c>
    </row>
    <row r="864" spans="1:10" x14ac:dyDescent="0.25">
      <c r="A864" t="s">
        <v>15</v>
      </c>
      <c r="B864" t="s">
        <v>900</v>
      </c>
      <c r="C864" t="s">
        <v>925</v>
      </c>
      <c r="D864">
        <v>747390</v>
      </c>
      <c r="E864" t="s">
        <v>13</v>
      </c>
      <c r="F864">
        <v>32.817</v>
      </c>
      <c r="G864">
        <v>-97.367000000000004</v>
      </c>
      <c r="H864">
        <v>-6</v>
      </c>
      <c r="I864">
        <v>209</v>
      </c>
      <c r="J864" t="str">
        <f>HYPERLINK("https://climate.onebuilding.org/WMO_Region_4_North_and_Central_America/USA_United_States_of_America/TX_Texas/USA_TX_Fort.Worth.Meacham.Intl.AP.747390_TMY3.zip")</f>
        <v>https://climate.onebuilding.org/WMO_Region_4_North_and_Central_America/USA_United_States_of_America/TX_Texas/USA_TX_Fort.Worth.Meacham.Intl.AP.747390_TMY3.zip</v>
      </c>
    </row>
    <row r="865" spans="1:10" x14ac:dyDescent="0.25">
      <c r="A865" t="s">
        <v>15</v>
      </c>
      <c r="B865" t="s">
        <v>900</v>
      </c>
      <c r="C865" t="s">
        <v>926</v>
      </c>
      <c r="D865">
        <v>722595</v>
      </c>
      <c r="E865" t="s">
        <v>13</v>
      </c>
      <c r="F865">
        <v>32.767000000000003</v>
      </c>
      <c r="G865">
        <v>-97.45</v>
      </c>
      <c r="H865">
        <v>-6</v>
      </c>
      <c r="I865">
        <v>185</v>
      </c>
      <c r="J865" t="str">
        <f>HYPERLINK("https://climate.onebuilding.org/WMO_Region_4_North_and_Central_America/USA_United_States_of_America/TX_Texas/USA_TX_Fort.Worth-NAS.JRB.Fort.Worth-Carswell.Field.722595_TMY3.zip")</f>
        <v>https://climate.onebuilding.org/WMO_Region_4_North_and_Central_America/USA_United_States_of_America/TX_Texas/USA_TX_Fort.Worth-NAS.JRB.Fort.Worth-Carswell.Field.722595_TMY3.zip</v>
      </c>
    </row>
    <row r="866" spans="1:10" x14ac:dyDescent="0.25">
      <c r="A866" t="s">
        <v>15</v>
      </c>
      <c r="B866" t="s">
        <v>900</v>
      </c>
      <c r="C866" t="s">
        <v>927</v>
      </c>
      <c r="D866">
        <v>722420</v>
      </c>
      <c r="E866" t="s">
        <v>13</v>
      </c>
      <c r="F866">
        <v>29.265000000000001</v>
      </c>
      <c r="G866">
        <v>-94.861000000000004</v>
      </c>
      <c r="H866">
        <v>-6</v>
      </c>
      <c r="I866">
        <v>16</v>
      </c>
      <c r="J866" t="str">
        <f>HYPERLINK("https://climate.onebuilding.org/WMO_Region_4_North_and_Central_America/USA_United_States_of_America/TX_Texas/USA_TX_Galveston.Scholes.Intl.AP.722420_TMY3.zip")</f>
        <v>https://climate.onebuilding.org/WMO_Region_4_North_and_Central_America/USA_United_States_of_America/TX_Texas/USA_TX_Galveston.Scholes.Intl.AP.722420_TMY3.zip</v>
      </c>
    </row>
    <row r="867" spans="1:10" x14ac:dyDescent="0.25">
      <c r="A867" t="s">
        <v>15</v>
      </c>
      <c r="B867" t="s">
        <v>900</v>
      </c>
      <c r="C867" t="s">
        <v>928</v>
      </c>
      <c r="D867">
        <v>722547</v>
      </c>
      <c r="E867" t="s">
        <v>13</v>
      </c>
      <c r="F867">
        <v>30.683</v>
      </c>
      <c r="G867">
        <v>-97.683000000000007</v>
      </c>
      <c r="H867">
        <v>-6</v>
      </c>
      <c r="I867">
        <v>240</v>
      </c>
      <c r="J867" t="str">
        <f>HYPERLINK("https://climate.onebuilding.org/WMO_Region_4_North_and_Central_America/USA_United_States_of_America/TX_Texas/USA_TX_Georgetown.Muni.AP.722547_TMY3.zip")</f>
        <v>https://climate.onebuilding.org/WMO_Region_4_North_and_Central_America/USA_United_States_of_America/TX_Texas/USA_TX_Georgetown.Muni.AP.722547_TMY3.zip</v>
      </c>
    </row>
    <row r="868" spans="1:10" x14ac:dyDescent="0.25">
      <c r="A868" t="s">
        <v>15</v>
      </c>
      <c r="B868" t="s">
        <v>900</v>
      </c>
      <c r="C868" t="s">
        <v>929</v>
      </c>
      <c r="D868">
        <v>722588</v>
      </c>
      <c r="E868" t="s">
        <v>13</v>
      </c>
      <c r="F868">
        <v>33.067</v>
      </c>
      <c r="G868">
        <v>-96.066999999999993</v>
      </c>
      <c r="H868">
        <v>-6</v>
      </c>
      <c r="I868">
        <v>163</v>
      </c>
      <c r="J868" t="str">
        <f>HYPERLINK("https://climate.onebuilding.org/WMO_Region_4_North_and_Central_America/USA_United_States_of_America/TX_Texas/USA_TX_Greenville-Majors.AP.722588_TMY3.zip")</f>
        <v>https://climate.onebuilding.org/WMO_Region_4_North_and_Central_America/USA_United_States_of_America/TX_Texas/USA_TX_Greenville-Majors.AP.722588_TMY3.zip</v>
      </c>
    </row>
    <row r="869" spans="1:10" x14ac:dyDescent="0.25">
      <c r="A869" t="s">
        <v>15</v>
      </c>
      <c r="B869" t="s">
        <v>900</v>
      </c>
      <c r="C869" t="s">
        <v>930</v>
      </c>
      <c r="D869">
        <v>722505</v>
      </c>
      <c r="E869" t="s">
        <v>13</v>
      </c>
      <c r="F869">
        <v>26.233000000000001</v>
      </c>
      <c r="G869">
        <v>-97.65</v>
      </c>
      <c r="H869">
        <v>-6</v>
      </c>
      <c r="I869">
        <v>10</v>
      </c>
      <c r="J869" t="str">
        <f>HYPERLINK("https://climate.onebuilding.org/WMO_Region_4_North_and_Central_America/USA_United_States_of_America/TX_Texas/USA_TX_Harlingen-Valley.Intl.AP.722505_TMY3.zip")</f>
        <v>https://climate.onebuilding.org/WMO_Region_4_North_and_Central_America/USA_United_States_of_America/TX_Texas/USA_TX_Harlingen-Valley.Intl.AP.722505_TMY3.zip</v>
      </c>
    </row>
    <row r="870" spans="1:10" x14ac:dyDescent="0.25">
      <c r="A870" t="s">
        <v>15</v>
      </c>
      <c r="B870" t="s">
        <v>900</v>
      </c>
      <c r="C870" t="s">
        <v>931</v>
      </c>
      <c r="D870">
        <v>722533</v>
      </c>
      <c r="E870" t="s">
        <v>13</v>
      </c>
      <c r="F870">
        <v>29.367000000000001</v>
      </c>
      <c r="G870">
        <v>-99.167000000000002</v>
      </c>
      <c r="H870">
        <v>-6</v>
      </c>
      <c r="I870">
        <v>280</v>
      </c>
      <c r="J870" t="str">
        <f>HYPERLINK("https://climate.onebuilding.org/WMO_Region_4_North_and_Central_America/USA_United_States_of_America/TX_Texas/USA_TX_Hondo-South.Texas.Rgnl.AP.722533_TMY3.zip")</f>
        <v>https://climate.onebuilding.org/WMO_Region_4_North_and_Central_America/USA_United_States_of_America/TX_Texas/USA_TX_Hondo-South.Texas.Rgnl.AP.722533_TMY3.zip</v>
      </c>
    </row>
    <row r="871" spans="1:10" x14ac:dyDescent="0.25">
      <c r="A871" t="s">
        <v>15</v>
      </c>
      <c r="B871" t="s">
        <v>900</v>
      </c>
      <c r="C871" t="s">
        <v>932</v>
      </c>
      <c r="D871">
        <v>722430</v>
      </c>
      <c r="E871" t="s">
        <v>13</v>
      </c>
      <c r="F871">
        <v>30</v>
      </c>
      <c r="G871">
        <v>-95.367000000000004</v>
      </c>
      <c r="H871">
        <v>-6</v>
      </c>
      <c r="I871">
        <v>29</v>
      </c>
      <c r="J871" t="str">
        <f>HYPERLINK("https://climate.onebuilding.org/WMO_Region_4_North_and_Central_America/USA_United_States_of_America/TX_Texas/USA_TX_Houston-Bush.Intercontinental.AP.722430_TMY3.zip")</f>
        <v>https://climate.onebuilding.org/WMO_Region_4_North_and_Central_America/USA_United_States_of_America/TX_Texas/USA_TX_Houston-Bush.Intercontinental.AP.722430_TMY3.zip</v>
      </c>
    </row>
    <row r="872" spans="1:10" x14ac:dyDescent="0.25">
      <c r="A872" t="s">
        <v>15</v>
      </c>
      <c r="B872" t="s">
        <v>900</v>
      </c>
      <c r="C872" t="s">
        <v>933</v>
      </c>
      <c r="D872">
        <v>722429</v>
      </c>
      <c r="E872" t="s">
        <v>13</v>
      </c>
      <c r="F872">
        <v>30.067</v>
      </c>
      <c r="G872">
        <v>-95.55</v>
      </c>
      <c r="H872">
        <v>-6</v>
      </c>
      <c r="I872">
        <v>46</v>
      </c>
      <c r="J872" t="str">
        <f>HYPERLINK("https://climate.onebuilding.org/WMO_Region_4_North_and_Central_America/USA_United_States_of_America/TX_Texas/USA_TX_Houston-Hooks.AP.722429_TMY3.zip")</f>
        <v>https://climate.onebuilding.org/WMO_Region_4_North_and_Central_America/USA_United_States_of_America/TX_Texas/USA_TX_Houston-Hooks.AP.722429_TMY3.zip</v>
      </c>
    </row>
    <row r="873" spans="1:10" x14ac:dyDescent="0.25">
      <c r="A873" t="s">
        <v>15</v>
      </c>
      <c r="B873" t="s">
        <v>900</v>
      </c>
      <c r="C873" t="s">
        <v>934</v>
      </c>
      <c r="D873">
        <v>722436</v>
      </c>
      <c r="E873" t="s">
        <v>13</v>
      </c>
      <c r="F873">
        <v>29.606000000000002</v>
      </c>
      <c r="G873">
        <v>-95.164000000000001</v>
      </c>
      <c r="H873">
        <v>-6</v>
      </c>
      <c r="I873">
        <v>6</v>
      </c>
      <c r="J873" t="str">
        <f>HYPERLINK("https://climate.onebuilding.org/WMO_Region_4_North_and_Central_America/USA_United_States_of_America/TX_Texas/USA_TX_Houston-Ellington.AP.722436_TMY3.zip")</f>
        <v>https://climate.onebuilding.org/WMO_Region_4_North_and_Central_America/USA_United_States_of_America/TX_Texas/USA_TX_Houston-Ellington.AP.722436_TMY3.zip</v>
      </c>
    </row>
    <row r="874" spans="1:10" x14ac:dyDescent="0.25">
      <c r="A874" t="s">
        <v>15</v>
      </c>
      <c r="B874" t="s">
        <v>900</v>
      </c>
      <c r="C874" t="s">
        <v>935</v>
      </c>
      <c r="D874">
        <v>722440</v>
      </c>
      <c r="E874" t="s">
        <v>13</v>
      </c>
      <c r="F874">
        <v>29.65</v>
      </c>
      <c r="G874">
        <v>-95.283000000000001</v>
      </c>
      <c r="H874">
        <v>-6</v>
      </c>
      <c r="I874">
        <v>13</v>
      </c>
      <c r="J874" t="str">
        <f>HYPERLINK("https://climate.onebuilding.org/WMO_Region_4_North_and_Central_America/USA_United_States_of_America/TX_Texas/USA_TX_Houston-Hobby.AP.722440_TMY3.zip")</f>
        <v>https://climate.onebuilding.org/WMO_Region_4_North_and_Central_America/USA_United_States_of_America/TX_Texas/USA_TX_Houston-Hobby.AP.722440_TMY3.zip</v>
      </c>
    </row>
    <row r="875" spans="1:10" x14ac:dyDescent="0.25">
      <c r="A875" t="s">
        <v>15</v>
      </c>
      <c r="B875" t="s">
        <v>900</v>
      </c>
      <c r="C875" t="s">
        <v>936</v>
      </c>
      <c r="D875">
        <v>722576</v>
      </c>
      <c r="E875" t="s">
        <v>13</v>
      </c>
      <c r="F875">
        <v>31.067</v>
      </c>
      <c r="G875">
        <v>-97.832999999999998</v>
      </c>
      <c r="H875">
        <v>-6</v>
      </c>
      <c r="I875">
        <v>312</v>
      </c>
      <c r="J875" t="str">
        <f>HYPERLINK("https://climate.onebuilding.org/WMO_Region_4_North_and_Central_America/USA_United_States_of_America/TX_Texas/USA_TX_Killeen-Fort.Hood.Rgnl.AP-Gray.AAF.722576_TMY3.zip")</f>
        <v>https://climate.onebuilding.org/WMO_Region_4_North_and_Central_America/USA_United_States_of_America/TX_Texas/USA_TX_Killeen-Fort.Hood.Rgnl.AP-Gray.AAF.722576_TMY3.zip</v>
      </c>
    </row>
    <row r="876" spans="1:10" x14ac:dyDescent="0.25">
      <c r="A876" t="s">
        <v>15</v>
      </c>
      <c r="B876" t="s">
        <v>900</v>
      </c>
      <c r="C876" t="s">
        <v>937</v>
      </c>
      <c r="D876">
        <v>722575</v>
      </c>
      <c r="E876" t="s">
        <v>13</v>
      </c>
      <c r="F876">
        <v>31.082999999999998</v>
      </c>
      <c r="G876">
        <v>-97.683000000000007</v>
      </c>
      <c r="H876">
        <v>-6</v>
      </c>
      <c r="I876">
        <v>258</v>
      </c>
      <c r="J876" t="str">
        <f>HYPERLINK("https://climate.onebuilding.org/WMO_Region_4_North_and_Central_America/USA_United_States_of_America/TX_Texas/USA_TX_Killeen-Skylark.Field.722575_TMY3.zip")</f>
        <v>https://climate.onebuilding.org/WMO_Region_4_North_and_Central_America/USA_United_States_of_America/TX_Texas/USA_TX_Killeen-Skylark.Field.722575_TMY3.zip</v>
      </c>
    </row>
    <row r="877" spans="1:10" x14ac:dyDescent="0.25">
      <c r="A877" t="s">
        <v>15</v>
      </c>
      <c r="B877" t="s">
        <v>900</v>
      </c>
      <c r="C877" t="s">
        <v>938</v>
      </c>
      <c r="D877">
        <v>722516</v>
      </c>
      <c r="E877" t="s">
        <v>13</v>
      </c>
      <c r="F877">
        <v>27.5</v>
      </c>
      <c r="G877">
        <v>-97.816999999999993</v>
      </c>
      <c r="H877">
        <v>-6</v>
      </c>
      <c r="I877">
        <v>17</v>
      </c>
      <c r="J877" t="str">
        <f>HYPERLINK("https://climate.onebuilding.org/WMO_Region_4_North_and_Central_America/USA_United_States_of_America/TX_Texas/USA_TX_NAS.Kingsville.722516_TMY3.zip")</f>
        <v>https://climate.onebuilding.org/WMO_Region_4_North_and_Central_America/USA_United_States_of_America/TX_Texas/USA_TX_NAS.Kingsville.722516_TMY3.zip</v>
      </c>
    </row>
    <row r="878" spans="1:10" x14ac:dyDescent="0.25">
      <c r="A878" t="s">
        <v>15</v>
      </c>
      <c r="B878" t="s">
        <v>900</v>
      </c>
      <c r="C878" t="s">
        <v>939</v>
      </c>
      <c r="D878">
        <v>722520</v>
      </c>
      <c r="E878" t="s">
        <v>13</v>
      </c>
      <c r="F878">
        <v>27.544</v>
      </c>
      <c r="G878">
        <v>-99.462999999999994</v>
      </c>
      <c r="H878">
        <v>-6</v>
      </c>
      <c r="I878">
        <v>142</v>
      </c>
      <c r="J878" t="str">
        <f>HYPERLINK("https://climate.onebuilding.org/WMO_Region_4_North_and_Central_America/USA_United_States_of_America/TX_Texas/USA_TX_Laredo.Intl.AP.722520_TMY3.zip")</f>
        <v>https://climate.onebuilding.org/WMO_Region_4_North_and_Central_America/USA_United_States_of_America/TX_Texas/USA_TX_Laredo.Intl.AP.722520_TMY3.zip</v>
      </c>
    </row>
    <row r="879" spans="1:10" x14ac:dyDescent="0.25">
      <c r="A879" t="s">
        <v>15</v>
      </c>
      <c r="B879" t="s">
        <v>900</v>
      </c>
      <c r="C879" t="s">
        <v>940</v>
      </c>
      <c r="D879">
        <v>722470</v>
      </c>
      <c r="E879" t="s">
        <v>13</v>
      </c>
      <c r="F879">
        <v>32.384999999999998</v>
      </c>
      <c r="G879">
        <v>-94.715000000000003</v>
      </c>
      <c r="H879">
        <v>-6</v>
      </c>
      <c r="I879">
        <v>146</v>
      </c>
      <c r="J879" t="str">
        <f>HYPERLINK("https://climate.onebuilding.org/WMO_Region_4_North_and_Central_America/USA_United_States_of_America/TX_Texas/USA_TX_Longview-East.Texas.Rgnl.AP.722470_TMY3.zip")</f>
        <v>https://climate.onebuilding.org/WMO_Region_4_North_and_Central_America/USA_United_States_of_America/TX_Texas/USA_TX_Longview-East.Texas.Rgnl.AP.722470_TMY3.zip</v>
      </c>
    </row>
    <row r="880" spans="1:10" x14ac:dyDescent="0.25">
      <c r="A880" t="s">
        <v>15</v>
      </c>
      <c r="B880" t="s">
        <v>900</v>
      </c>
      <c r="C880" t="s">
        <v>941</v>
      </c>
      <c r="D880">
        <v>722670</v>
      </c>
      <c r="E880" t="s">
        <v>13</v>
      </c>
      <c r="F880">
        <v>33.667000000000002</v>
      </c>
      <c r="G880">
        <v>-101.81699999999999</v>
      </c>
      <c r="H880">
        <v>-6</v>
      </c>
      <c r="I880">
        <v>992</v>
      </c>
      <c r="J880" t="str">
        <f>HYPERLINK("https://climate.onebuilding.org/WMO_Region_4_North_and_Central_America/USA_United_States_of_America/TX_Texas/USA_TX_Lubbock.Smith.Intl.AP.722670_TMY3.zip")</f>
        <v>https://climate.onebuilding.org/WMO_Region_4_North_and_Central_America/USA_United_States_of_America/TX_Texas/USA_TX_Lubbock.Smith.Intl.AP.722670_TMY3.zip</v>
      </c>
    </row>
    <row r="881" spans="1:10" x14ac:dyDescent="0.25">
      <c r="A881" t="s">
        <v>15</v>
      </c>
      <c r="B881" t="s">
        <v>900</v>
      </c>
      <c r="C881" t="s">
        <v>942</v>
      </c>
      <c r="D881">
        <v>722446</v>
      </c>
      <c r="E881" t="s">
        <v>13</v>
      </c>
      <c r="F881">
        <v>31.233000000000001</v>
      </c>
      <c r="G881">
        <v>-94.75</v>
      </c>
      <c r="H881">
        <v>-6</v>
      </c>
      <c r="I881">
        <v>86</v>
      </c>
      <c r="J881" t="str">
        <f>HYPERLINK("https://climate.onebuilding.org/WMO_Region_4_North_and_Central_America/USA_United_States_of_America/TX_Texas/USA_TX_Lufkin-Angelina.Co.AP.722446_TMY3.zip")</f>
        <v>https://climate.onebuilding.org/WMO_Region_4_North_and_Central_America/USA_United_States_of_America/TX_Texas/USA_TX_Lufkin-Angelina.Co.AP.722446_TMY3.zip</v>
      </c>
    </row>
    <row r="882" spans="1:10" x14ac:dyDescent="0.25">
      <c r="A882" t="s">
        <v>15</v>
      </c>
      <c r="B882" t="s">
        <v>900</v>
      </c>
      <c r="C882" t="s">
        <v>943</v>
      </c>
      <c r="D882">
        <v>722640</v>
      </c>
      <c r="E882" t="s">
        <v>13</v>
      </c>
      <c r="F882">
        <v>30.367000000000001</v>
      </c>
      <c r="G882">
        <v>-104.017</v>
      </c>
      <c r="H882">
        <v>-6</v>
      </c>
      <c r="I882">
        <v>1473</v>
      </c>
      <c r="J882" t="str">
        <f>HYPERLINK("https://climate.onebuilding.org/WMO_Region_4_North_and_Central_America/USA_United_States_of_America/TX_Texas/USA_TX_Marfa.Muni.AP.722640_TMY3.zip")</f>
        <v>https://climate.onebuilding.org/WMO_Region_4_North_and_Central_America/USA_United_States_of_America/TX_Texas/USA_TX_Marfa.Muni.AP.722640_TMY3.zip</v>
      </c>
    </row>
    <row r="883" spans="1:10" x14ac:dyDescent="0.25">
      <c r="A883" t="s">
        <v>15</v>
      </c>
      <c r="B883" t="s">
        <v>900</v>
      </c>
      <c r="C883" t="s">
        <v>944</v>
      </c>
      <c r="D883">
        <v>722506</v>
      </c>
      <c r="E883" t="s">
        <v>13</v>
      </c>
      <c r="F883">
        <v>26.175999999999998</v>
      </c>
      <c r="G883">
        <v>-98.24</v>
      </c>
      <c r="H883">
        <v>-6</v>
      </c>
      <c r="I883">
        <v>30</v>
      </c>
      <c r="J883" t="str">
        <f>HYPERLINK("https://climate.onebuilding.org/WMO_Region_4_North_and_Central_America/USA_United_States_of_America/TX_Texas/USA_TX_McAllen.Miller.Intl.AP.722506_TMY3.zip")</f>
        <v>https://climate.onebuilding.org/WMO_Region_4_North_and_Central_America/USA_United_States_of_America/TX_Texas/USA_TX_McAllen.Miller.Intl.AP.722506_TMY3.zip</v>
      </c>
    </row>
    <row r="884" spans="1:10" x14ac:dyDescent="0.25">
      <c r="A884" t="s">
        <v>15</v>
      </c>
      <c r="B884" t="s">
        <v>900</v>
      </c>
      <c r="C884" t="s">
        <v>945</v>
      </c>
      <c r="D884">
        <v>722563</v>
      </c>
      <c r="E884" t="s">
        <v>13</v>
      </c>
      <c r="F884">
        <v>31.483000000000001</v>
      </c>
      <c r="G884">
        <v>-97.316999999999993</v>
      </c>
      <c r="H884">
        <v>-6</v>
      </c>
      <c r="I884">
        <v>180</v>
      </c>
      <c r="J884" t="str">
        <f>HYPERLINK("https://climate.onebuilding.org/WMO_Region_4_North_and_Central_America/USA_United_States_of_America/TX_Texas/USA_TX_McGregor.Exec.AP.722563_TMY3.zip")</f>
        <v>https://climate.onebuilding.org/WMO_Region_4_North_and_Central_America/USA_United_States_of_America/TX_Texas/USA_TX_McGregor.Exec.AP.722563_TMY3.zip</v>
      </c>
    </row>
    <row r="885" spans="1:10" x14ac:dyDescent="0.25">
      <c r="A885" t="s">
        <v>15</v>
      </c>
      <c r="B885" t="s">
        <v>900</v>
      </c>
      <c r="C885" t="s">
        <v>946</v>
      </c>
      <c r="D885">
        <v>722650</v>
      </c>
      <c r="E885" t="s">
        <v>13</v>
      </c>
      <c r="F885">
        <v>31.95</v>
      </c>
      <c r="G885">
        <v>-102.18300000000001</v>
      </c>
      <c r="H885">
        <v>-6</v>
      </c>
      <c r="I885">
        <v>872</v>
      </c>
      <c r="J885" t="str">
        <f>HYPERLINK("https://climate.onebuilding.org/WMO_Region_4_North_and_Central_America/USA_United_States_of_America/TX_Texas/USA_TX_Midland.Intl.Air.and.Space.Port.722650_TMY3.zip")</f>
        <v>https://climate.onebuilding.org/WMO_Region_4_North_and_Central_America/USA_United_States_of_America/TX_Texas/USA_TX_Midland.Intl.Air.and.Space.Port.722650_TMY3.zip</v>
      </c>
    </row>
    <row r="886" spans="1:10" x14ac:dyDescent="0.25">
      <c r="A886" t="s">
        <v>15</v>
      </c>
      <c r="B886" t="s">
        <v>900</v>
      </c>
      <c r="C886" t="s">
        <v>947</v>
      </c>
      <c r="D886">
        <v>722597</v>
      </c>
      <c r="E886" t="s">
        <v>13</v>
      </c>
      <c r="F886">
        <v>32.783000000000001</v>
      </c>
      <c r="G886">
        <v>-98.066999999999993</v>
      </c>
      <c r="H886">
        <v>-6</v>
      </c>
      <c r="I886">
        <v>284</v>
      </c>
      <c r="J886" t="str">
        <f>HYPERLINK("https://climate.onebuilding.org/WMO_Region_4_North_and_Central_America/USA_United_States_of_America/TX_Texas/USA_TX_Mineral.Wells.AP.722597_TMY3.zip")</f>
        <v>https://climate.onebuilding.org/WMO_Region_4_North_and_Central_America/USA_United_States_of_America/TX_Texas/USA_TX_Mineral.Wells.AP.722597_TMY3.zip</v>
      </c>
    </row>
    <row r="887" spans="1:10" x14ac:dyDescent="0.25">
      <c r="A887" t="s">
        <v>15</v>
      </c>
      <c r="B887" t="s">
        <v>900</v>
      </c>
      <c r="C887" t="s">
        <v>948</v>
      </c>
      <c r="D887">
        <v>722499</v>
      </c>
      <c r="E887" t="s">
        <v>13</v>
      </c>
      <c r="F887">
        <v>31.582999999999998</v>
      </c>
      <c r="G887">
        <v>-94.716999999999999</v>
      </c>
      <c r="H887">
        <v>-6</v>
      </c>
      <c r="I887">
        <v>108</v>
      </c>
      <c r="J887" t="str">
        <f>HYPERLINK("https://climate.onebuilding.org/WMO_Region_4_North_and_Central_America/USA_United_States_of_America/TX_Texas/USA_TX_Nacogdoches-Mangham.Rgnl.AP.722499_TMY3.zip")</f>
        <v>https://climate.onebuilding.org/WMO_Region_4_North_and_Central_America/USA_United_States_of_America/TX_Texas/USA_TX_Nacogdoches-Mangham.Rgnl.AP.722499_TMY3.zip</v>
      </c>
    </row>
    <row r="888" spans="1:10" x14ac:dyDescent="0.25">
      <c r="A888" t="s">
        <v>15</v>
      </c>
      <c r="B888" t="s">
        <v>900</v>
      </c>
      <c r="C888" t="s">
        <v>949</v>
      </c>
      <c r="D888">
        <v>722555</v>
      </c>
      <c r="E888" t="s">
        <v>13</v>
      </c>
      <c r="F888">
        <v>28.716999999999999</v>
      </c>
      <c r="G888">
        <v>-96.25</v>
      </c>
      <c r="H888">
        <v>-6</v>
      </c>
      <c r="I888">
        <v>5</v>
      </c>
      <c r="J888" t="str">
        <f>HYPERLINK("https://climate.onebuilding.org/WMO_Region_4_North_and_Central_America/USA_United_States_of_America/TX_Texas/USA_TX_Palacios.Muni.AP.722555_TMY3.zip")</f>
        <v>https://climate.onebuilding.org/WMO_Region_4_North_and_Central_America/USA_United_States_of_America/TX_Texas/USA_TX_Palacios.Muni.AP.722555_TMY3.zip</v>
      </c>
    </row>
    <row r="889" spans="1:10" x14ac:dyDescent="0.25">
      <c r="A889" t="s">
        <v>15</v>
      </c>
      <c r="B889" t="s">
        <v>900</v>
      </c>
      <c r="C889" t="s">
        <v>950</v>
      </c>
      <c r="D889">
        <v>722410</v>
      </c>
      <c r="E889" t="s">
        <v>13</v>
      </c>
      <c r="F889">
        <v>29.95</v>
      </c>
      <c r="G889">
        <v>-94.016999999999996</v>
      </c>
      <c r="H889">
        <v>-6</v>
      </c>
      <c r="I889">
        <v>5</v>
      </c>
      <c r="J889" t="str">
        <f>HYPERLINK("https://climate.onebuilding.org/WMO_Region_4_North_and_Central_America/USA_United_States_of_America/TX_Texas/USA_TX_Beaumont-Port.Arthur-Brooks.Rgnl.AP.722410_TMY3.zip")</f>
        <v>https://climate.onebuilding.org/WMO_Region_4_North_and_Central_America/USA_United_States_of_America/TX_Texas/USA_TX_Beaumont-Port.Arthur-Brooks.Rgnl.AP.722410_TMY3.zip</v>
      </c>
    </row>
    <row r="890" spans="1:10" x14ac:dyDescent="0.25">
      <c r="A890" t="s">
        <v>15</v>
      </c>
      <c r="B890" t="s">
        <v>900</v>
      </c>
      <c r="C890" t="s">
        <v>951</v>
      </c>
      <c r="D890">
        <v>722536</v>
      </c>
      <c r="E890" t="s">
        <v>13</v>
      </c>
      <c r="F890">
        <v>29.533000000000001</v>
      </c>
      <c r="G890">
        <v>-98.283000000000001</v>
      </c>
      <c r="H890">
        <v>-6</v>
      </c>
      <c r="I890">
        <v>232</v>
      </c>
      <c r="J890" t="str">
        <f>HYPERLINK("https://climate.onebuilding.org/WMO_Region_4_North_and_Central_America/USA_United_States_of_America/TX_Texas/USA_TX_San.Antonio-JB.San.Antonio-Randolph.AFB.722536_TMY3.zip")</f>
        <v>https://climate.onebuilding.org/WMO_Region_4_North_and_Central_America/USA_United_States_of_America/TX_Texas/USA_TX_San.Antonio-JB.San.Antonio-Randolph.AFB.722536_TMY3.zip</v>
      </c>
    </row>
    <row r="891" spans="1:10" x14ac:dyDescent="0.25">
      <c r="A891" t="s">
        <v>15</v>
      </c>
      <c r="B891" t="s">
        <v>900</v>
      </c>
      <c r="C891" t="s">
        <v>952</v>
      </c>
      <c r="D891">
        <v>722524</v>
      </c>
      <c r="E891" t="s">
        <v>13</v>
      </c>
      <c r="F891">
        <v>28.082999999999998</v>
      </c>
      <c r="G891">
        <v>-97.05</v>
      </c>
      <c r="H891">
        <v>-6</v>
      </c>
      <c r="I891">
        <v>8</v>
      </c>
      <c r="J891" t="str">
        <f>HYPERLINK("https://climate.onebuilding.org/WMO_Region_4_North_and_Central_America/USA_United_States_of_America/TX_Texas/USA_TX_Rockport-Aransas.Co.AP.722524_TMY3.zip")</f>
        <v>https://climate.onebuilding.org/WMO_Region_4_North_and_Central_America/USA_United_States_of_America/TX_Texas/USA_TX_Rockport-Aransas.Co.AP.722524_TMY3.zip</v>
      </c>
    </row>
    <row r="892" spans="1:10" x14ac:dyDescent="0.25">
      <c r="A892" t="s">
        <v>15</v>
      </c>
      <c r="B892" t="s">
        <v>900</v>
      </c>
      <c r="C892" t="s">
        <v>953</v>
      </c>
      <c r="D892">
        <v>722630</v>
      </c>
      <c r="E892" t="s">
        <v>13</v>
      </c>
      <c r="F892">
        <v>31.35</v>
      </c>
      <c r="G892">
        <v>-100.5</v>
      </c>
      <c r="H892">
        <v>-6</v>
      </c>
      <c r="I892">
        <v>584</v>
      </c>
      <c r="J892" t="str">
        <f>HYPERLINK("https://climate.onebuilding.org/WMO_Region_4_North_and_Central_America/USA_United_States_of_America/TX_Texas/USA_TX_San.Angelo.Rgnl.AP-Mathis.Field.722630_TMY3.zip")</f>
        <v>https://climate.onebuilding.org/WMO_Region_4_North_and_Central_America/USA_United_States_of_America/TX_Texas/USA_TX_San.Angelo.Rgnl.AP-Mathis.Field.722630_TMY3.zip</v>
      </c>
    </row>
    <row r="893" spans="1:10" x14ac:dyDescent="0.25">
      <c r="A893" t="s">
        <v>15</v>
      </c>
      <c r="B893" t="s">
        <v>900</v>
      </c>
      <c r="C893" t="s">
        <v>954</v>
      </c>
      <c r="D893">
        <v>722535</v>
      </c>
      <c r="E893" t="s">
        <v>13</v>
      </c>
      <c r="F893">
        <v>29.382999999999999</v>
      </c>
      <c r="G893">
        <v>-98.582999999999998</v>
      </c>
      <c r="H893">
        <v>-6</v>
      </c>
      <c r="I893">
        <v>208</v>
      </c>
      <c r="J893" t="str">
        <f>HYPERLINK("https://climate.onebuilding.org/WMO_Region_4_North_and_Central_America/USA_United_States_of_America/TX_Texas/USA_TX_San.Antonio-JB.San.Antonio-Kelly.Field.Annex.722535_TMY3.zip")</f>
        <v>https://climate.onebuilding.org/WMO_Region_4_North_and_Central_America/USA_United_States_of_America/TX_Texas/USA_TX_San.Antonio-JB.San.Antonio-Kelly.Field.Annex.722535_TMY3.zip</v>
      </c>
    </row>
    <row r="894" spans="1:10" x14ac:dyDescent="0.25">
      <c r="A894" t="s">
        <v>15</v>
      </c>
      <c r="B894" t="s">
        <v>900</v>
      </c>
      <c r="C894" t="s">
        <v>955</v>
      </c>
      <c r="D894">
        <v>722523</v>
      </c>
      <c r="E894" t="s">
        <v>13</v>
      </c>
      <c r="F894">
        <v>29.332999999999998</v>
      </c>
      <c r="G894">
        <v>-98.466999999999999</v>
      </c>
      <c r="H894">
        <v>-6</v>
      </c>
      <c r="I894">
        <v>176</v>
      </c>
      <c r="J894" t="str">
        <f>HYPERLINK("https://climate.onebuilding.org/WMO_Region_4_North_and_Central_America/USA_United_States_of_America/TX_Texas/USA_TX_San.Antonio-Stinson.Muni.AP.722523_TMY3.zip")</f>
        <v>https://climate.onebuilding.org/WMO_Region_4_North_and_Central_America/USA_United_States_of_America/TX_Texas/USA_TX_San.Antonio-Stinson.Muni.AP.722523_TMY3.zip</v>
      </c>
    </row>
    <row r="895" spans="1:10" x14ac:dyDescent="0.25">
      <c r="A895" t="s">
        <v>15</v>
      </c>
      <c r="B895" t="s">
        <v>900</v>
      </c>
      <c r="C895" t="s">
        <v>956</v>
      </c>
      <c r="D895">
        <v>722530</v>
      </c>
      <c r="E895" t="s">
        <v>13</v>
      </c>
      <c r="F895">
        <v>29.533000000000001</v>
      </c>
      <c r="G895">
        <v>-98.466999999999999</v>
      </c>
      <c r="H895">
        <v>-6</v>
      </c>
      <c r="I895">
        <v>247</v>
      </c>
      <c r="J895" t="str">
        <f>HYPERLINK("https://climate.onebuilding.org/WMO_Region_4_North_and_Central_America/USA_United_States_of_America/TX_Texas/USA_TX_San.Antonio.Intl.AP.722530_TMY3.zip")</f>
        <v>https://climate.onebuilding.org/WMO_Region_4_North_and_Central_America/USA_United_States_of_America/TX_Texas/USA_TX_San.Antonio.Intl.AP.722530_TMY3.zip</v>
      </c>
    </row>
    <row r="896" spans="1:10" x14ac:dyDescent="0.25">
      <c r="A896" t="s">
        <v>15</v>
      </c>
      <c r="B896" t="s">
        <v>900</v>
      </c>
      <c r="C896" t="s">
        <v>957</v>
      </c>
      <c r="D896">
        <v>722448</v>
      </c>
      <c r="E896" t="s">
        <v>13</v>
      </c>
      <c r="F896">
        <v>32.35</v>
      </c>
      <c r="G896">
        <v>-95.4</v>
      </c>
      <c r="H896">
        <v>-6</v>
      </c>
      <c r="I896">
        <v>166</v>
      </c>
      <c r="J896" t="str">
        <f>HYPERLINK("https://climate.onebuilding.org/WMO_Region_4_North_and_Central_America/USA_United_States_of_America/TX_Texas/USA_TX_Tyler.Pounds.Rgnl.AP.722448_TMY3.zip")</f>
        <v>https://climate.onebuilding.org/WMO_Region_4_North_and_Central_America/USA_United_States_of_America/TX_Texas/USA_TX_Tyler.Pounds.Rgnl.AP.722448_TMY3.zip</v>
      </c>
    </row>
    <row r="897" spans="1:10" x14ac:dyDescent="0.25">
      <c r="A897" t="s">
        <v>15</v>
      </c>
      <c r="B897" t="s">
        <v>900</v>
      </c>
      <c r="C897" t="s">
        <v>958</v>
      </c>
      <c r="D897">
        <v>722550</v>
      </c>
      <c r="E897" t="s">
        <v>13</v>
      </c>
      <c r="F897">
        <v>28.867000000000001</v>
      </c>
      <c r="G897">
        <v>-96.933000000000007</v>
      </c>
      <c r="H897">
        <v>-6</v>
      </c>
      <c r="I897">
        <v>35</v>
      </c>
      <c r="J897" t="str">
        <f>HYPERLINK("https://climate.onebuilding.org/WMO_Region_4_North_and_Central_America/USA_United_States_of_America/TX_Texas/USA_TX_Victoria.Rgnl.AP.722550_TMY3.zip")</f>
        <v>https://climate.onebuilding.org/WMO_Region_4_North_and_Central_America/USA_United_States_of_America/TX_Texas/USA_TX_Victoria.Rgnl.AP.722550_TMY3.zip</v>
      </c>
    </row>
    <row r="898" spans="1:10" x14ac:dyDescent="0.25">
      <c r="A898" t="s">
        <v>15</v>
      </c>
      <c r="B898" t="s">
        <v>900</v>
      </c>
      <c r="C898" t="s">
        <v>959</v>
      </c>
      <c r="D898">
        <v>722560</v>
      </c>
      <c r="E898" t="s">
        <v>13</v>
      </c>
      <c r="F898">
        <v>31.617000000000001</v>
      </c>
      <c r="G898">
        <v>-97.233000000000004</v>
      </c>
      <c r="H898">
        <v>-6</v>
      </c>
      <c r="I898">
        <v>152</v>
      </c>
      <c r="J898" t="str">
        <f>HYPERLINK("https://climate.onebuilding.org/WMO_Region_4_North_and_Central_America/USA_United_States_of_America/TX_Texas/USA_TX_Waco.Rgnl.AP.722560_TMY3.zip")</f>
        <v>https://climate.onebuilding.org/WMO_Region_4_North_and_Central_America/USA_United_States_of_America/TX_Texas/USA_TX_Waco.Rgnl.AP.722560_TMY3.zip</v>
      </c>
    </row>
    <row r="899" spans="1:10" x14ac:dyDescent="0.25">
      <c r="A899" t="s">
        <v>15</v>
      </c>
      <c r="B899" t="s">
        <v>900</v>
      </c>
      <c r="C899" t="s">
        <v>960</v>
      </c>
      <c r="D899">
        <v>723510</v>
      </c>
      <c r="E899" t="s">
        <v>13</v>
      </c>
      <c r="F899">
        <v>33.982999999999997</v>
      </c>
      <c r="G899">
        <v>-98.5</v>
      </c>
      <c r="H899">
        <v>-6</v>
      </c>
      <c r="I899">
        <v>314</v>
      </c>
      <c r="J899" t="str">
        <f>HYPERLINK("https://climate.onebuilding.org/WMO_Region_4_North_and_Central_America/USA_United_States_of_America/TX_Texas/USA_TX_Wichita.Falls.Muni.AP-Sheppard.AFB.723510_TMY3.zip")</f>
        <v>https://climate.onebuilding.org/WMO_Region_4_North_and_Central_America/USA_United_States_of_America/TX_Texas/USA_TX_Wichita.Falls.Muni.AP-Sheppard.AFB.723510_TMY3.zip</v>
      </c>
    </row>
    <row r="900" spans="1:10" x14ac:dyDescent="0.25">
      <c r="A900" t="s">
        <v>15</v>
      </c>
      <c r="B900" t="s">
        <v>900</v>
      </c>
      <c r="C900" t="s">
        <v>961</v>
      </c>
      <c r="D900">
        <v>722656</v>
      </c>
      <c r="E900" t="s">
        <v>13</v>
      </c>
      <c r="F900">
        <v>31.783000000000001</v>
      </c>
      <c r="G900">
        <v>-103.2</v>
      </c>
      <c r="H900">
        <v>-6</v>
      </c>
      <c r="I900">
        <v>856</v>
      </c>
      <c r="J900" t="str">
        <f>HYPERLINK("https://climate.onebuilding.org/WMO_Region_4_North_and_Central_America/USA_United_States_of_America/TX_Texas/USA_TX_Wink-Winkler.County.AP.722656_TMY3.zip")</f>
        <v>https://climate.onebuilding.org/WMO_Region_4_North_and_Central_America/USA_United_States_of_America/TX_Texas/USA_TX_Wink-Winkler.County.AP.722656_TMY3.zip</v>
      </c>
    </row>
    <row r="901" spans="1:10" x14ac:dyDescent="0.25">
      <c r="A901" t="s">
        <v>15</v>
      </c>
      <c r="B901" t="s">
        <v>962</v>
      </c>
      <c r="C901" t="s">
        <v>963</v>
      </c>
      <c r="D901">
        <v>724723</v>
      </c>
      <c r="E901" t="s">
        <v>13</v>
      </c>
      <c r="F901">
        <v>37.582999999999998</v>
      </c>
      <c r="G901">
        <v>-109.483</v>
      </c>
      <c r="H901">
        <v>-7</v>
      </c>
      <c r="I901">
        <v>1841</v>
      </c>
      <c r="J901" t="str">
        <f>HYPERLINK("https://climate.onebuilding.org/WMO_Region_4_North_and_Central_America/USA_United_States_of_America/UT_Utah/USA_UT_Blanding.Muni.AP.724723_TMY3.zip")</f>
        <v>https://climate.onebuilding.org/WMO_Region_4_North_and_Central_America/USA_United_States_of_America/UT_Utah/USA_UT_Blanding.Muni.AP.724723_TMY3.zip</v>
      </c>
    </row>
    <row r="902" spans="1:10" x14ac:dyDescent="0.25">
      <c r="A902" t="s">
        <v>15</v>
      </c>
      <c r="B902" t="s">
        <v>962</v>
      </c>
      <c r="C902" t="s">
        <v>964</v>
      </c>
      <c r="D902">
        <v>724756</v>
      </c>
      <c r="E902" t="s">
        <v>13</v>
      </c>
      <c r="F902">
        <v>37.700000000000003</v>
      </c>
      <c r="G902">
        <v>-112.15</v>
      </c>
      <c r="H902">
        <v>-7</v>
      </c>
      <c r="I902">
        <v>2312</v>
      </c>
      <c r="J902" t="str">
        <f>HYPERLINK("https://climate.onebuilding.org/WMO_Region_4_North_and_Central_America/USA_United_States_of_America/UT_Utah/USA_UT_Bryce.Canyon.AP.724756_TMY3.zip")</f>
        <v>https://climate.onebuilding.org/WMO_Region_4_North_and_Central_America/USA_United_States_of_America/UT_Utah/USA_UT_Bryce.Canyon.AP.724756_TMY3.zip</v>
      </c>
    </row>
    <row r="903" spans="1:10" x14ac:dyDescent="0.25">
      <c r="A903" t="s">
        <v>15</v>
      </c>
      <c r="B903" t="s">
        <v>962</v>
      </c>
      <c r="C903" t="s">
        <v>965</v>
      </c>
      <c r="D903">
        <v>724755</v>
      </c>
      <c r="E903" t="s">
        <v>13</v>
      </c>
      <c r="F903">
        <v>37.700000000000003</v>
      </c>
      <c r="G903">
        <v>-113.1</v>
      </c>
      <c r="H903">
        <v>-7</v>
      </c>
      <c r="I903">
        <v>1703</v>
      </c>
      <c r="J903" t="str">
        <f>HYPERLINK("https://climate.onebuilding.org/WMO_Region_4_North_and_Central_America/USA_United_States_of_America/UT_Utah/USA_UT_Cedar.City.Rgnl.AP.724755_TMY3.zip")</f>
        <v>https://climate.onebuilding.org/WMO_Region_4_North_and_Central_America/USA_United_States_of_America/UT_Utah/USA_UT_Cedar.City.Rgnl.AP.724755_TMY3.zip</v>
      </c>
    </row>
    <row r="904" spans="1:10" x14ac:dyDescent="0.25">
      <c r="A904" t="s">
        <v>15</v>
      </c>
      <c r="B904" t="s">
        <v>962</v>
      </c>
      <c r="C904" t="s">
        <v>966</v>
      </c>
      <c r="D904">
        <v>724795</v>
      </c>
      <c r="E904" t="s">
        <v>13</v>
      </c>
      <c r="F904">
        <v>39.381999999999998</v>
      </c>
      <c r="G904">
        <v>-112.51</v>
      </c>
      <c r="H904">
        <v>-7</v>
      </c>
      <c r="I904">
        <v>1414</v>
      </c>
      <c r="J904" t="str">
        <f>HYPERLINK("https://climate.onebuilding.org/WMO_Region_4_North_and_Central_America/USA_United_States_of_America/UT_Utah/USA_UT_Delta.Muni.AP.724795_TMY3.zip")</f>
        <v>https://climate.onebuilding.org/WMO_Region_4_North_and_Central_America/USA_United_States_of_America/UT_Utah/USA_UT_Delta.Muni.AP.724795_TMY3.zip</v>
      </c>
    </row>
    <row r="905" spans="1:10" x14ac:dyDescent="0.25">
      <c r="A905" t="s">
        <v>15</v>
      </c>
      <c r="B905" t="s">
        <v>962</v>
      </c>
      <c r="C905" t="s">
        <v>967</v>
      </c>
      <c r="D905">
        <v>724735</v>
      </c>
      <c r="E905" t="s">
        <v>13</v>
      </c>
      <c r="F905">
        <v>38.415999999999997</v>
      </c>
      <c r="G905">
        <v>-110.703</v>
      </c>
      <c r="H905">
        <v>-7</v>
      </c>
      <c r="I905">
        <v>1313</v>
      </c>
      <c r="J905" t="str">
        <f>HYPERLINK("https://climate.onebuilding.org/WMO_Region_4_North_and_Central_America/USA_United_States_of_America/UT_Utah/USA_UT_Hanksville.AP.724735_TMY3.zip")</f>
        <v>https://climate.onebuilding.org/WMO_Region_4_North_and_Central_America/USA_United_States_of_America/UT_Utah/USA_UT_Hanksville.AP.724735_TMY3.zip</v>
      </c>
    </row>
    <row r="906" spans="1:10" x14ac:dyDescent="0.25">
      <c r="A906" t="s">
        <v>15</v>
      </c>
      <c r="B906" t="s">
        <v>962</v>
      </c>
      <c r="C906" t="s">
        <v>968</v>
      </c>
      <c r="D906">
        <v>724776</v>
      </c>
      <c r="E906" t="s">
        <v>13</v>
      </c>
      <c r="F906">
        <v>38.755000000000003</v>
      </c>
      <c r="G906">
        <v>-109.755</v>
      </c>
      <c r="H906">
        <v>-7</v>
      </c>
      <c r="I906">
        <v>1386</v>
      </c>
      <c r="J906" t="str">
        <f>HYPERLINK("https://climate.onebuilding.org/WMO_Region_4_North_and_Central_America/USA_United_States_of_America/UT_Utah/USA_UT_Moab-Canyonlands.Field.724776_TMY3.zip")</f>
        <v>https://climate.onebuilding.org/WMO_Region_4_North_and_Central_America/USA_United_States_of_America/UT_Utah/USA_UT_Moab-Canyonlands.Field.724776_TMY3.zip</v>
      </c>
    </row>
    <row r="907" spans="1:10" x14ac:dyDescent="0.25">
      <c r="A907" t="s">
        <v>15</v>
      </c>
      <c r="B907" t="s">
        <v>962</v>
      </c>
      <c r="C907" t="s">
        <v>969</v>
      </c>
      <c r="D907">
        <v>725755</v>
      </c>
      <c r="E907" t="s">
        <v>13</v>
      </c>
      <c r="F907">
        <v>41.116999999999997</v>
      </c>
      <c r="G907">
        <v>-111.967</v>
      </c>
      <c r="H907">
        <v>-7</v>
      </c>
      <c r="I907">
        <v>1459</v>
      </c>
      <c r="J907" t="str">
        <f>HYPERLINK("https://climate.onebuilding.org/WMO_Region_4_North_and_Central_America/USA_United_States_of_America/UT_Utah/USA_UT_Ogden-Hill.AFB.725755_TMY3.zip")</f>
        <v>https://climate.onebuilding.org/WMO_Region_4_North_and_Central_America/USA_United_States_of_America/UT_Utah/USA_UT_Ogden-Hill.AFB.725755_TMY3.zip</v>
      </c>
    </row>
    <row r="908" spans="1:10" x14ac:dyDescent="0.25">
      <c r="A908" t="s">
        <v>15</v>
      </c>
      <c r="B908" t="s">
        <v>962</v>
      </c>
      <c r="C908" t="s">
        <v>970</v>
      </c>
      <c r="D908">
        <v>725750</v>
      </c>
      <c r="E908" t="s">
        <v>13</v>
      </c>
      <c r="F908">
        <v>41.2</v>
      </c>
      <c r="G908">
        <v>-112.017</v>
      </c>
      <c r="H908">
        <v>-7</v>
      </c>
      <c r="I908">
        <v>1362</v>
      </c>
      <c r="J908" t="str">
        <f>HYPERLINK("https://climate.onebuilding.org/WMO_Region_4_North_and_Central_America/USA_United_States_of_America/UT_Utah/USA_UT_Ogden-Hinkley.AP.725750_TMY3.zip")</f>
        <v>https://climate.onebuilding.org/WMO_Region_4_North_and_Central_America/USA_United_States_of_America/UT_Utah/USA_UT_Ogden-Hinkley.AP.725750_TMY3.zip</v>
      </c>
    </row>
    <row r="909" spans="1:10" x14ac:dyDescent="0.25">
      <c r="A909" t="s">
        <v>15</v>
      </c>
      <c r="B909" t="s">
        <v>962</v>
      </c>
      <c r="C909" t="s">
        <v>971</v>
      </c>
      <c r="D909">
        <v>725724</v>
      </c>
      <c r="E909" t="s">
        <v>13</v>
      </c>
      <c r="F909">
        <v>40.216999999999999</v>
      </c>
      <c r="G909">
        <v>-111.717</v>
      </c>
      <c r="H909">
        <v>-7</v>
      </c>
      <c r="I909">
        <v>1369</v>
      </c>
      <c r="J909" t="str">
        <f>HYPERLINK("https://climate.onebuilding.org/WMO_Region_4_North_and_Central_America/USA_United_States_of_America/UT_Utah/USA_UT_Provo.Muni.AP.725724_TMY3.zip")</f>
        <v>https://climate.onebuilding.org/WMO_Region_4_North_and_Central_America/USA_United_States_of_America/UT_Utah/USA_UT_Provo.Muni.AP.725724_TMY3.zip</v>
      </c>
    </row>
    <row r="910" spans="1:10" x14ac:dyDescent="0.25">
      <c r="A910" t="s">
        <v>15</v>
      </c>
      <c r="B910" t="s">
        <v>962</v>
      </c>
      <c r="C910" t="s">
        <v>972</v>
      </c>
      <c r="D910">
        <v>724754</v>
      </c>
      <c r="E910" t="s">
        <v>13</v>
      </c>
      <c r="F910">
        <v>37.082999999999998</v>
      </c>
      <c r="G910">
        <v>-113.6</v>
      </c>
      <c r="H910">
        <v>-7</v>
      </c>
      <c r="I910">
        <v>896</v>
      </c>
      <c r="J910" t="str">
        <f>HYPERLINK("https://climate.onebuilding.org/WMO_Region_4_North_and_Central_America/USA_United_States_of_America/UT_Utah/USA_UT_Saint.George.Rgnl.AP.724754_TMY3.zip")</f>
        <v>https://climate.onebuilding.org/WMO_Region_4_North_and_Central_America/USA_United_States_of_America/UT_Utah/USA_UT_Saint.George.Rgnl.AP.724754_TMY3.zip</v>
      </c>
    </row>
    <row r="911" spans="1:10" x14ac:dyDescent="0.25">
      <c r="A911" t="s">
        <v>15</v>
      </c>
      <c r="B911" t="s">
        <v>962</v>
      </c>
      <c r="C911" t="s">
        <v>973</v>
      </c>
      <c r="D911">
        <v>725720</v>
      </c>
      <c r="E911" t="s">
        <v>13</v>
      </c>
      <c r="F911">
        <v>40.770000000000003</v>
      </c>
      <c r="G911">
        <v>-111.97</v>
      </c>
      <c r="H911">
        <v>-7</v>
      </c>
      <c r="I911">
        <v>1288</v>
      </c>
      <c r="J911" t="str">
        <f>HYPERLINK("https://climate.onebuilding.org/WMO_Region_4_North_and_Central_America/USA_United_States_of_America/UT_Utah/USA_UT_Salt.Lake.City.Intl.AP.725720_TMY3.zip")</f>
        <v>https://climate.onebuilding.org/WMO_Region_4_North_and_Central_America/USA_United_States_of_America/UT_Utah/USA_UT_Salt.Lake.City.Intl.AP.725720_TMY3.zip</v>
      </c>
    </row>
    <row r="912" spans="1:10" x14ac:dyDescent="0.25">
      <c r="A912" t="s">
        <v>15</v>
      </c>
      <c r="B912" t="s">
        <v>962</v>
      </c>
      <c r="C912" t="s">
        <v>974</v>
      </c>
      <c r="D912">
        <v>725705</v>
      </c>
      <c r="E912" t="s">
        <v>13</v>
      </c>
      <c r="F912">
        <v>40.433</v>
      </c>
      <c r="G912">
        <v>-109.517</v>
      </c>
      <c r="H912">
        <v>-7</v>
      </c>
      <c r="I912">
        <v>1608</v>
      </c>
      <c r="J912" t="str">
        <f>HYPERLINK("https://climate.onebuilding.org/WMO_Region_4_North_and_Central_America/USA_United_States_of_America/UT_Utah/USA_UT_Vernal.Rgnl.AP.725705_TMY3.zip")</f>
        <v>https://climate.onebuilding.org/WMO_Region_4_North_and_Central_America/USA_United_States_of_America/UT_Utah/USA_UT_Vernal.Rgnl.AP.725705_TMY3.zip</v>
      </c>
    </row>
    <row r="913" spans="1:10" x14ac:dyDescent="0.25">
      <c r="A913" t="s">
        <v>15</v>
      </c>
      <c r="B913" t="s">
        <v>962</v>
      </c>
      <c r="C913" t="s">
        <v>975</v>
      </c>
      <c r="D913">
        <v>725810</v>
      </c>
      <c r="E913" t="s">
        <v>13</v>
      </c>
      <c r="F913">
        <v>40.716999999999999</v>
      </c>
      <c r="G913">
        <v>-114.033</v>
      </c>
      <c r="H913">
        <v>-7</v>
      </c>
      <c r="I913">
        <v>1291</v>
      </c>
      <c r="J913" t="str">
        <f>HYPERLINK("https://climate.onebuilding.org/WMO_Region_4_North_and_Central_America/USA_United_States_of_America/UT_Utah/USA_UT_Wendover.AP.725810_TMY3.zip")</f>
        <v>https://climate.onebuilding.org/WMO_Region_4_North_and_Central_America/USA_United_States_of_America/UT_Utah/USA_UT_Wendover.AP.725810_TMY3.zip</v>
      </c>
    </row>
    <row r="914" spans="1:10" x14ac:dyDescent="0.25">
      <c r="A914" t="s">
        <v>15</v>
      </c>
      <c r="B914" t="s">
        <v>976</v>
      </c>
      <c r="C914" t="s">
        <v>977</v>
      </c>
      <c r="D914">
        <v>724058</v>
      </c>
      <c r="E914" t="s">
        <v>13</v>
      </c>
      <c r="F914">
        <v>36.683</v>
      </c>
      <c r="G914">
        <v>-82.033000000000001</v>
      </c>
      <c r="H914">
        <v>-5</v>
      </c>
      <c r="I914">
        <v>631</v>
      </c>
      <c r="J914" t="str">
        <f>HYPERLINK("https://climate.onebuilding.org/WMO_Region_4_North_and_Central_America/USA_United_States_of_America/VA_Virginia/USA_VA_Abingdon-Virgina.Highlands.AP.724058_TMY3.zip")</f>
        <v>https://climate.onebuilding.org/WMO_Region_4_North_and_Central_America/USA_United_States_of_America/VA_Virginia/USA_VA_Abingdon-Virgina.Highlands.AP.724058_TMY3.zip</v>
      </c>
    </row>
    <row r="915" spans="1:10" x14ac:dyDescent="0.25">
      <c r="A915" t="s">
        <v>15</v>
      </c>
      <c r="B915" t="s">
        <v>976</v>
      </c>
      <c r="C915" t="s">
        <v>978</v>
      </c>
      <c r="D915">
        <v>724050</v>
      </c>
      <c r="E915" t="s">
        <v>13</v>
      </c>
      <c r="F915">
        <v>38.850999999999999</v>
      </c>
      <c r="G915">
        <v>-77.037999999999997</v>
      </c>
      <c r="H915">
        <v>-5</v>
      </c>
      <c r="I915">
        <v>3</v>
      </c>
      <c r="J915" t="str">
        <f>HYPERLINK("https://climate.onebuilding.org/WMO_Region_4_North_and_Central_America/USA_United_States_of_America/VA_Virginia/USA_VA_Arlington-Reagan.Washington.Natl.AP.724050_TMY3.zip")</f>
        <v>https://climate.onebuilding.org/WMO_Region_4_North_and_Central_America/USA_United_States_of_America/VA_Virginia/USA_VA_Arlington-Reagan.Washington.Natl.AP.724050_TMY3.zip</v>
      </c>
    </row>
    <row r="916" spans="1:10" x14ac:dyDescent="0.25">
      <c r="A916" t="s">
        <v>15</v>
      </c>
      <c r="B916" t="s">
        <v>976</v>
      </c>
      <c r="C916" t="s">
        <v>979</v>
      </c>
      <c r="D916">
        <v>724113</v>
      </c>
      <c r="E916" t="s">
        <v>13</v>
      </c>
      <c r="F916">
        <v>37.216999999999999</v>
      </c>
      <c r="G916">
        <v>-80.417000000000002</v>
      </c>
      <c r="H916">
        <v>-5</v>
      </c>
      <c r="I916">
        <v>650</v>
      </c>
      <c r="J916" t="str">
        <f>HYPERLINK("https://climate.onebuilding.org/WMO_Region_4_North_and_Central_America/USA_United_States_of_America/VA_Virginia/USA_VA_Blacksburg-Virginia.Tech.Montgomery.Exec.AP.724113_TMY3.zip")</f>
        <v>https://climate.onebuilding.org/WMO_Region_4_North_and_Central_America/USA_United_States_of_America/VA_Virginia/USA_VA_Blacksburg-Virginia.Tech.Montgomery.Exec.AP.724113_TMY3.zip</v>
      </c>
    </row>
    <row r="917" spans="1:10" x14ac:dyDescent="0.25">
      <c r="A917" t="s">
        <v>15</v>
      </c>
      <c r="B917" t="s">
        <v>976</v>
      </c>
      <c r="C917" t="s">
        <v>980</v>
      </c>
      <c r="D917">
        <v>724016</v>
      </c>
      <c r="E917" t="s">
        <v>13</v>
      </c>
      <c r="F917">
        <v>38.133000000000003</v>
      </c>
      <c r="G917">
        <v>-78.45</v>
      </c>
      <c r="H917">
        <v>-5</v>
      </c>
      <c r="I917">
        <v>190</v>
      </c>
      <c r="J917" t="str">
        <f>HYPERLINK("https://climate.onebuilding.org/WMO_Region_4_North_and_Central_America/USA_United_States_of_America/VA_Virginia/USA_VA_Charlottesville-Albemarle.AP.724016_TMY3.zip")</f>
        <v>https://climate.onebuilding.org/WMO_Region_4_North_and_Central_America/USA_United_States_of_America/VA_Virginia/USA_VA_Charlottesville-Albemarle.AP.724016_TMY3.zip</v>
      </c>
    </row>
    <row r="918" spans="1:10" x14ac:dyDescent="0.25">
      <c r="A918" t="s">
        <v>15</v>
      </c>
      <c r="B918" t="s">
        <v>976</v>
      </c>
      <c r="C918" t="s">
        <v>981</v>
      </c>
      <c r="D918">
        <v>724106</v>
      </c>
      <c r="E918" t="s">
        <v>13</v>
      </c>
      <c r="F918">
        <v>36.567</v>
      </c>
      <c r="G918">
        <v>-79.332999999999998</v>
      </c>
      <c r="H918">
        <v>-5</v>
      </c>
      <c r="I918">
        <v>176</v>
      </c>
      <c r="J918" t="str">
        <f>HYPERLINK("https://climate.onebuilding.org/WMO_Region_4_North_and_Central_America/USA_United_States_of_America/VA_Virginia/USA_VA_Danville.Rgnl.AP.724106_TMY3.zip")</f>
        <v>https://climate.onebuilding.org/WMO_Region_4_North_and_Central_America/USA_United_States_of_America/VA_Virginia/USA_VA_Danville.Rgnl.AP.724106_TMY3.zip</v>
      </c>
    </row>
    <row r="919" spans="1:10" x14ac:dyDescent="0.25">
      <c r="A919" t="s">
        <v>15</v>
      </c>
      <c r="B919" t="s">
        <v>976</v>
      </c>
      <c r="C919" t="s">
        <v>982</v>
      </c>
      <c r="D919">
        <v>724037</v>
      </c>
      <c r="E919" t="s">
        <v>13</v>
      </c>
      <c r="F919">
        <v>38.716999999999999</v>
      </c>
      <c r="G919">
        <v>-77.183000000000007</v>
      </c>
      <c r="H919">
        <v>-5</v>
      </c>
      <c r="I919">
        <v>27</v>
      </c>
      <c r="J919" t="str">
        <f>HYPERLINK("https://climate.onebuilding.org/WMO_Region_4_North_and_Central_America/USA_United_States_of_America/VA_Virginia/USA_VA_Lorton-Fort.Belvoir-Davison.AAF.724037_TMY3.zip")</f>
        <v>https://climate.onebuilding.org/WMO_Region_4_North_and_Central_America/USA_United_States_of_America/VA_Virginia/USA_VA_Lorton-Fort.Belvoir-Davison.AAF.724037_TMY3.zip</v>
      </c>
    </row>
    <row r="920" spans="1:10" x14ac:dyDescent="0.25">
      <c r="A920" t="s">
        <v>15</v>
      </c>
      <c r="B920" t="s">
        <v>976</v>
      </c>
      <c r="C920" t="s">
        <v>983</v>
      </c>
      <c r="D920">
        <v>724017</v>
      </c>
      <c r="E920" t="s">
        <v>13</v>
      </c>
      <c r="F920">
        <v>37.35</v>
      </c>
      <c r="G920">
        <v>-78.433000000000007</v>
      </c>
      <c r="H920">
        <v>-5</v>
      </c>
      <c r="I920">
        <v>125</v>
      </c>
      <c r="J920" t="str">
        <f>HYPERLINK("https://climate.onebuilding.org/WMO_Region_4_North_and_Central_America/USA_United_States_of_America/VA_Virginia/USA_VA_Farmville.Rgnl.AP.724017_TMY3.zip")</f>
        <v>https://climate.onebuilding.org/WMO_Region_4_North_and_Central_America/USA_United_States_of_America/VA_Virginia/USA_VA_Farmville.Rgnl.AP.724017_TMY3.zip</v>
      </c>
    </row>
    <row r="921" spans="1:10" x14ac:dyDescent="0.25">
      <c r="A921" t="s">
        <v>15</v>
      </c>
      <c r="B921" t="s">
        <v>976</v>
      </c>
      <c r="C921" t="s">
        <v>984</v>
      </c>
      <c r="D921">
        <v>723083</v>
      </c>
      <c r="E921" t="s">
        <v>13</v>
      </c>
      <c r="F921">
        <v>36.700000000000003</v>
      </c>
      <c r="G921">
        <v>-76.900000000000006</v>
      </c>
      <c r="H921">
        <v>-5</v>
      </c>
      <c r="I921">
        <v>12</v>
      </c>
      <c r="J921" t="str">
        <f>HYPERLINK("https://climate.onebuilding.org/WMO_Region_4_North_and_Central_America/USA_United_States_of_America/VA_Virginia/USA_VA_Franklin.Muni.AP-Rose.Field.723083_TMY3.zip")</f>
        <v>https://climate.onebuilding.org/WMO_Region_4_North_and_Central_America/USA_United_States_of_America/VA_Virginia/USA_VA_Franklin.Muni.AP-Rose.Field.723083_TMY3.zip</v>
      </c>
    </row>
    <row r="922" spans="1:10" x14ac:dyDescent="0.25">
      <c r="A922" t="s">
        <v>15</v>
      </c>
      <c r="B922" t="s">
        <v>976</v>
      </c>
      <c r="C922" t="s">
        <v>985</v>
      </c>
      <c r="D922">
        <v>724033</v>
      </c>
      <c r="E922" t="s">
        <v>13</v>
      </c>
      <c r="F922">
        <v>38.267000000000003</v>
      </c>
      <c r="G922">
        <v>-77.45</v>
      </c>
      <c r="H922">
        <v>-5</v>
      </c>
      <c r="I922">
        <v>26</v>
      </c>
      <c r="J922" t="str">
        <f>HYPERLINK("https://climate.onebuilding.org/WMO_Region_4_North_and_Central_America/USA_United_States_of_America/VA_Virginia/USA_VA_Fredericksburg-Shannon.AP.724033_TMY3.zip")</f>
        <v>https://climate.onebuilding.org/WMO_Region_4_North_and_Central_America/USA_United_States_of_America/VA_Virginia/USA_VA_Fredericksburg-Shannon.AP.724033_TMY3.zip</v>
      </c>
    </row>
    <row r="923" spans="1:10" x14ac:dyDescent="0.25">
      <c r="A923" t="s">
        <v>15</v>
      </c>
      <c r="B923" t="s">
        <v>976</v>
      </c>
      <c r="C923" t="s">
        <v>986</v>
      </c>
      <c r="D923">
        <v>724107</v>
      </c>
      <c r="E923" t="s">
        <v>13</v>
      </c>
      <c r="F923">
        <v>36.767000000000003</v>
      </c>
      <c r="G923">
        <v>-80.816999999999993</v>
      </c>
      <c r="H923">
        <v>-5</v>
      </c>
      <c r="I923">
        <v>834</v>
      </c>
      <c r="J923" t="str">
        <f>HYPERLINK("https://climate.onebuilding.org/WMO_Region_4_North_and_Central_America/USA_United_States_of_America/VA_Virginia/USA_VA_Hillsville-Twin.County.AP.724107_TMY3.zip")</f>
        <v>https://climate.onebuilding.org/WMO_Region_4_North_and_Central_America/USA_United_States_of_America/VA_Virginia/USA_VA_Hillsville-Twin.County.AP.724107_TMY3.zip</v>
      </c>
    </row>
    <row r="924" spans="1:10" x14ac:dyDescent="0.25">
      <c r="A924" t="s">
        <v>15</v>
      </c>
      <c r="B924" t="s">
        <v>976</v>
      </c>
      <c r="C924" t="s">
        <v>987</v>
      </c>
      <c r="D924">
        <v>724115</v>
      </c>
      <c r="E924" t="s">
        <v>13</v>
      </c>
      <c r="F924">
        <v>37.950000000000003</v>
      </c>
      <c r="G924">
        <v>-79.832999999999998</v>
      </c>
      <c r="H924">
        <v>-5</v>
      </c>
      <c r="I924">
        <v>1156</v>
      </c>
      <c r="J924" t="str">
        <f>HYPERLINK("https://climate.onebuilding.org/WMO_Region_4_North_and_Central_America/USA_United_States_of_America/VA_Virginia/USA_VA_Hot.Springs-Ingalls.Field.AP.724115_TMY3.zip")</f>
        <v>https://climate.onebuilding.org/WMO_Region_4_North_and_Central_America/USA_United_States_of_America/VA_Virginia/USA_VA_Hot.Springs-Ingalls.Field.AP.724115_TMY3.zip</v>
      </c>
    </row>
    <row r="925" spans="1:10" x14ac:dyDescent="0.25">
      <c r="A925" t="s">
        <v>15</v>
      </c>
      <c r="B925" t="s">
        <v>976</v>
      </c>
      <c r="C925" t="s">
        <v>988</v>
      </c>
      <c r="D925">
        <v>745980</v>
      </c>
      <c r="E925" t="s">
        <v>13</v>
      </c>
      <c r="F925">
        <v>37.082999999999998</v>
      </c>
      <c r="G925">
        <v>-76.349999999999994</v>
      </c>
      <c r="H925">
        <v>-5</v>
      </c>
      <c r="I925">
        <v>3</v>
      </c>
      <c r="J925" t="str">
        <f>HYPERLINK("https://climate.onebuilding.org/WMO_Region_4_North_and_Central_America/USA_United_States_of_America/VA_Virginia/USA_VA_Hampton-JB.Langley-Eustis-Langley.Field.745980_TMY3.zip")</f>
        <v>https://climate.onebuilding.org/WMO_Region_4_North_and_Central_America/USA_United_States_of_America/VA_Virginia/USA_VA_Hampton-JB.Langley-Eustis-Langley.Field.745980_TMY3.zip</v>
      </c>
    </row>
    <row r="926" spans="1:10" x14ac:dyDescent="0.25">
      <c r="A926" t="s">
        <v>15</v>
      </c>
      <c r="B926" t="s">
        <v>976</v>
      </c>
      <c r="C926" t="s">
        <v>989</v>
      </c>
      <c r="D926">
        <v>724055</v>
      </c>
      <c r="E926" t="s">
        <v>13</v>
      </c>
      <c r="F926">
        <v>39.082999999999998</v>
      </c>
      <c r="G926">
        <v>-77.566999999999993</v>
      </c>
      <c r="H926">
        <v>-5</v>
      </c>
      <c r="I926">
        <v>119</v>
      </c>
      <c r="J926" t="str">
        <f>HYPERLINK("https://climate.onebuilding.org/WMO_Region_4_North_and_Central_America/USA_United_States_of_America/VA_Virginia/USA_VA_Leesburg.Exec.AP-Godfrey.Field.724055_TMY3.zip")</f>
        <v>https://climate.onebuilding.org/WMO_Region_4_North_and_Central_America/USA_United_States_of_America/VA_Virginia/USA_VA_Leesburg.Exec.AP-Godfrey.Field.724055_TMY3.zip</v>
      </c>
    </row>
    <row r="927" spans="1:10" x14ac:dyDescent="0.25">
      <c r="A927" t="s">
        <v>15</v>
      </c>
      <c r="B927" t="s">
        <v>976</v>
      </c>
      <c r="C927" t="s">
        <v>990</v>
      </c>
      <c r="D927">
        <v>724100</v>
      </c>
      <c r="E927" t="s">
        <v>13</v>
      </c>
      <c r="F927">
        <v>37.332999999999998</v>
      </c>
      <c r="G927">
        <v>-79.2</v>
      </c>
      <c r="H927">
        <v>-5</v>
      </c>
      <c r="I927">
        <v>286</v>
      </c>
      <c r="J927" t="str">
        <f>HYPERLINK("https://climate.onebuilding.org/WMO_Region_4_North_and_Central_America/USA_United_States_of_America/VA_Virginia/USA_VA_Lynchburg.Rgnl.AP-Glen.Field.724100_TMY3.zip")</f>
        <v>https://climate.onebuilding.org/WMO_Region_4_North_and_Central_America/USA_United_States_of_America/VA_Virginia/USA_VA_Lynchburg.Rgnl.AP-Glen.Field.724100_TMY3.zip</v>
      </c>
    </row>
    <row r="928" spans="1:10" x14ac:dyDescent="0.25">
      <c r="A928" t="s">
        <v>15</v>
      </c>
      <c r="B928" t="s">
        <v>976</v>
      </c>
      <c r="C928" t="s">
        <v>991</v>
      </c>
      <c r="D928">
        <v>724036</v>
      </c>
      <c r="E928" t="s">
        <v>13</v>
      </c>
      <c r="F928">
        <v>38.716999999999999</v>
      </c>
      <c r="G928">
        <v>-77.516999999999996</v>
      </c>
      <c r="H928">
        <v>-5</v>
      </c>
      <c r="I928">
        <v>59</v>
      </c>
      <c r="J928" t="str">
        <f>HYPERLINK("https://climate.onebuilding.org/WMO_Region_4_North_and_Central_America/USA_United_States_of_America/VA_Virginia/USA_VA_Manassas.Rgnl.AP-Davis.Field.724036_TMY3.zip")</f>
        <v>https://climate.onebuilding.org/WMO_Region_4_North_and_Central_America/USA_United_States_of_America/VA_Virginia/USA_VA_Manassas.Rgnl.AP-Davis.Field.724036_TMY3.zip</v>
      </c>
    </row>
    <row r="929" spans="1:10" x14ac:dyDescent="0.25">
      <c r="A929" t="s">
        <v>15</v>
      </c>
      <c r="B929" t="s">
        <v>976</v>
      </c>
      <c r="C929" t="s">
        <v>992</v>
      </c>
      <c r="D929">
        <v>724056</v>
      </c>
      <c r="E929" t="s">
        <v>13</v>
      </c>
      <c r="F929">
        <v>36.9</v>
      </c>
      <c r="G929">
        <v>-81.349999999999994</v>
      </c>
      <c r="H929">
        <v>-5</v>
      </c>
      <c r="I929">
        <v>780</v>
      </c>
      <c r="J929" t="str">
        <f>HYPERLINK("https://climate.onebuilding.org/WMO_Region_4_North_and_Central_America/USA_United_States_of_America/VA_Virginia/USA_VA_Marion-Wytheville-Mountain.Empire.AP.724056_TMY3.zip")</f>
        <v>https://climate.onebuilding.org/WMO_Region_4_North_and_Central_America/USA_United_States_of_America/VA_Virginia/USA_VA_Marion-Wytheville-Mountain.Empire.AP.724056_TMY3.zip</v>
      </c>
    </row>
    <row r="930" spans="1:10" x14ac:dyDescent="0.25">
      <c r="A930" t="s">
        <v>15</v>
      </c>
      <c r="B930" t="s">
        <v>976</v>
      </c>
      <c r="C930" t="s">
        <v>993</v>
      </c>
      <c r="D930">
        <v>745985</v>
      </c>
      <c r="E930" t="s">
        <v>13</v>
      </c>
      <c r="F930">
        <v>36.633000000000003</v>
      </c>
      <c r="G930">
        <v>-80.016999999999996</v>
      </c>
      <c r="H930">
        <v>-5</v>
      </c>
      <c r="I930">
        <v>287</v>
      </c>
      <c r="J930" t="str">
        <f>HYPERLINK("https://climate.onebuilding.org/WMO_Region_4_North_and_Central_America/USA_United_States_of_America/VA_Virginia/USA_VA_Martinsville-Blue.Ridge.Rgnl.AP.745985_TMY3.zip")</f>
        <v>https://climate.onebuilding.org/WMO_Region_4_North_and_Central_America/USA_United_States_of_America/VA_Virginia/USA_VA_Martinsville-Blue.Ridge.Rgnl.AP.745985_TMY3.zip</v>
      </c>
    </row>
    <row r="931" spans="1:10" x14ac:dyDescent="0.25">
      <c r="A931" t="s">
        <v>15</v>
      </c>
      <c r="B931" t="s">
        <v>976</v>
      </c>
      <c r="C931" t="s">
        <v>994</v>
      </c>
      <c r="D931">
        <v>724026</v>
      </c>
      <c r="E931" t="s">
        <v>13</v>
      </c>
      <c r="F931">
        <v>37.65</v>
      </c>
      <c r="G931">
        <v>-75.766999999999996</v>
      </c>
      <c r="H931">
        <v>-5</v>
      </c>
      <c r="I931">
        <v>15</v>
      </c>
      <c r="J931" t="str">
        <f>HYPERLINK("https://climate.onebuilding.org/WMO_Region_4_North_and_Central_America/USA_United_States_of_America/VA_Virginia/USA_VA_Melfa-Accomack.County.AP.724026_TMY3.zip")</f>
        <v>https://climate.onebuilding.org/WMO_Region_4_North_and_Central_America/USA_United_States_of_America/VA_Virginia/USA_VA_Melfa-Accomack.County.AP.724026_TMY3.zip</v>
      </c>
    </row>
    <row r="932" spans="1:10" x14ac:dyDescent="0.25">
      <c r="A932" t="s">
        <v>15</v>
      </c>
      <c r="B932" t="s">
        <v>976</v>
      </c>
      <c r="C932" t="s">
        <v>995</v>
      </c>
      <c r="D932">
        <v>723086</v>
      </c>
      <c r="E932" t="s">
        <v>13</v>
      </c>
      <c r="F932">
        <v>37.133000000000003</v>
      </c>
      <c r="G932">
        <v>-76.5</v>
      </c>
      <c r="H932">
        <v>-5</v>
      </c>
      <c r="I932">
        <v>13</v>
      </c>
      <c r="J932" t="str">
        <f>HYPERLINK("https://climate.onebuilding.org/WMO_Region_4_North_and_Central_America/USA_United_States_of_America/VA_Virginia/USA_VA_Newport.News-Williamsburg.Intl.AP.723086_TMY3.zip")</f>
        <v>https://climate.onebuilding.org/WMO_Region_4_North_and_Central_America/USA_United_States_of_America/VA_Virginia/USA_VA_Newport.News-Williamsburg.Intl.AP.723086_TMY3.zip</v>
      </c>
    </row>
    <row r="933" spans="1:10" x14ac:dyDescent="0.25">
      <c r="A933" t="s">
        <v>15</v>
      </c>
      <c r="B933" t="s">
        <v>976</v>
      </c>
      <c r="C933" t="s">
        <v>996</v>
      </c>
      <c r="D933">
        <v>723080</v>
      </c>
      <c r="E933" t="s">
        <v>13</v>
      </c>
      <c r="F933">
        <v>36.9</v>
      </c>
      <c r="G933">
        <v>-76.2</v>
      </c>
      <c r="H933">
        <v>-5</v>
      </c>
      <c r="I933">
        <v>7</v>
      </c>
      <c r="J933" t="str">
        <f>HYPERLINK("https://climate.onebuilding.org/WMO_Region_4_North_and_Central_America/USA_United_States_of_America/VA_Virginia/USA_VA_Norfolk.Intl.AP.723080_TMY3.zip")</f>
        <v>https://climate.onebuilding.org/WMO_Region_4_North_and_Central_America/USA_United_States_of_America/VA_Virginia/USA_VA_Norfolk.Intl.AP.723080_TMY3.zip</v>
      </c>
    </row>
    <row r="934" spans="1:10" x14ac:dyDescent="0.25">
      <c r="A934" t="s">
        <v>15</v>
      </c>
      <c r="B934" t="s">
        <v>976</v>
      </c>
      <c r="C934" t="s">
        <v>997</v>
      </c>
      <c r="D934">
        <v>723085</v>
      </c>
      <c r="E934" t="s">
        <v>13</v>
      </c>
      <c r="F934">
        <v>36.950000000000003</v>
      </c>
      <c r="G934">
        <v>-76.283000000000001</v>
      </c>
      <c r="H934">
        <v>-5</v>
      </c>
      <c r="I934">
        <v>10</v>
      </c>
      <c r="J934" t="str">
        <f>HYPERLINK("https://climate.onebuilding.org/WMO_Region_4_North_and_Central_America/USA_United_States_of_America/VA_Virginia/USA_VA_Norfolk-NS.Norfolk-Chambers.Field.723085_TMY3.zip")</f>
        <v>https://climate.onebuilding.org/WMO_Region_4_North_and_Central_America/USA_United_States_of_America/VA_Virginia/USA_VA_Norfolk-NS.Norfolk-Chambers.Field.723085_TMY3.zip</v>
      </c>
    </row>
    <row r="935" spans="1:10" x14ac:dyDescent="0.25">
      <c r="A935" t="s">
        <v>15</v>
      </c>
      <c r="B935" t="s">
        <v>976</v>
      </c>
      <c r="C935" t="s">
        <v>998</v>
      </c>
      <c r="D935">
        <v>723075</v>
      </c>
      <c r="E935" t="s">
        <v>13</v>
      </c>
      <c r="F935">
        <v>36.817</v>
      </c>
      <c r="G935">
        <v>-76.033000000000001</v>
      </c>
      <c r="H935">
        <v>-5</v>
      </c>
      <c r="I935">
        <v>8</v>
      </c>
      <c r="J935" t="str">
        <f>HYPERLINK("https://climate.onebuilding.org/WMO_Region_4_North_and_Central_America/USA_United_States_of_America/VA_Virginia/USA_VA_Virginia.Beach-NAS.Oceana.723075_TMY3.zip")</f>
        <v>https://climate.onebuilding.org/WMO_Region_4_North_and_Central_America/USA_United_States_of_America/VA_Virginia/USA_VA_Virginia.Beach-NAS.Oceana.723075_TMY3.zip</v>
      </c>
    </row>
    <row r="936" spans="1:10" x14ac:dyDescent="0.25">
      <c r="A936" t="s">
        <v>15</v>
      </c>
      <c r="B936" t="s">
        <v>976</v>
      </c>
      <c r="C936" t="s">
        <v>999</v>
      </c>
      <c r="D936">
        <v>724014</v>
      </c>
      <c r="E936" t="s">
        <v>13</v>
      </c>
      <c r="F936">
        <v>37.183</v>
      </c>
      <c r="G936">
        <v>-77.516999999999996</v>
      </c>
      <c r="H936">
        <v>-5</v>
      </c>
      <c r="I936">
        <v>60</v>
      </c>
      <c r="J936" t="str">
        <f>HYPERLINK("https://climate.onebuilding.org/WMO_Region_4_North_and_Central_America/USA_United_States_of_America/VA_Virginia/USA_VA_Petersburg-Dinwiddie.County.AP.724014_TMY3.zip")</f>
        <v>https://climate.onebuilding.org/WMO_Region_4_North_and_Central_America/USA_United_States_of_America/VA_Virginia/USA_VA_Petersburg-Dinwiddie.County.AP.724014_TMY3.zip</v>
      </c>
    </row>
    <row r="937" spans="1:10" x14ac:dyDescent="0.25">
      <c r="A937" t="s">
        <v>15</v>
      </c>
      <c r="B937" t="s">
        <v>976</v>
      </c>
      <c r="C937" t="s">
        <v>1000</v>
      </c>
      <c r="D937">
        <v>724116</v>
      </c>
      <c r="E937" t="s">
        <v>13</v>
      </c>
      <c r="F937">
        <v>37.133000000000003</v>
      </c>
      <c r="G937">
        <v>-80.683000000000007</v>
      </c>
      <c r="H937">
        <v>-5</v>
      </c>
      <c r="I937">
        <v>642</v>
      </c>
      <c r="J937" t="str">
        <f>HYPERLINK("https://climate.onebuilding.org/WMO_Region_4_North_and_Central_America/USA_United_States_of_America/VA_Virginia/USA_VA_Pulaski-Dublin-Radford-New.River.Valley.AP.724116_TMY3.zip")</f>
        <v>https://climate.onebuilding.org/WMO_Region_4_North_and_Central_America/USA_United_States_of_America/VA_Virginia/USA_VA_Pulaski-Dublin-Radford-New.River.Valley.AP.724116_TMY3.zip</v>
      </c>
    </row>
    <row r="938" spans="1:10" x14ac:dyDescent="0.25">
      <c r="A938" t="s">
        <v>15</v>
      </c>
      <c r="B938" t="s">
        <v>976</v>
      </c>
      <c r="C938" t="s">
        <v>1001</v>
      </c>
      <c r="D938">
        <v>724035</v>
      </c>
      <c r="E938" t="s">
        <v>13</v>
      </c>
      <c r="F938">
        <v>38.5</v>
      </c>
      <c r="G938">
        <v>-77.31</v>
      </c>
      <c r="H938">
        <v>-5</v>
      </c>
      <c r="I938">
        <v>4</v>
      </c>
      <c r="J938" t="str">
        <f>HYPERLINK("https://climate.onebuilding.org/WMO_Region_4_North_and_Central_America/USA_United_States_of_America/VA_Virginia/USA_VA_Quantico-MCB.Quantico-MCAF.Quantico-Turner.Field.724035_TMY3.zip")</f>
        <v>https://climate.onebuilding.org/WMO_Region_4_North_and_Central_America/USA_United_States_of_America/VA_Virginia/USA_VA_Quantico-MCB.Quantico-MCAF.Quantico-Turner.Field.724035_TMY3.zip</v>
      </c>
    </row>
    <row r="939" spans="1:10" x14ac:dyDescent="0.25">
      <c r="A939" t="s">
        <v>15</v>
      </c>
      <c r="B939" t="s">
        <v>976</v>
      </c>
      <c r="C939" t="s">
        <v>1002</v>
      </c>
      <c r="D939">
        <v>724010</v>
      </c>
      <c r="E939" t="s">
        <v>13</v>
      </c>
      <c r="F939">
        <v>37.517000000000003</v>
      </c>
      <c r="G939">
        <v>-77.316999999999993</v>
      </c>
      <c r="H939">
        <v>-5</v>
      </c>
      <c r="I939">
        <v>50</v>
      </c>
      <c r="J939" t="str">
        <f>HYPERLINK("https://climate.onebuilding.org/WMO_Region_4_North_and_Central_America/USA_United_States_of_America/VA_Virginia/USA_VA_Richmond.Intl.AP.724010_TMY3.zip")</f>
        <v>https://climate.onebuilding.org/WMO_Region_4_North_and_Central_America/USA_United_States_of_America/VA_Virginia/USA_VA_Richmond.Intl.AP.724010_TMY3.zip</v>
      </c>
    </row>
    <row r="940" spans="1:10" x14ac:dyDescent="0.25">
      <c r="A940" t="s">
        <v>15</v>
      </c>
      <c r="B940" t="s">
        <v>976</v>
      </c>
      <c r="C940" t="s">
        <v>1003</v>
      </c>
      <c r="D940">
        <v>724110</v>
      </c>
      <c r="E940" t="s">
        <v>13</v>
      </c>
      <c r="F940">
        <v>37.317</v>
      </c>
      <c r="G940">
        <v>-79.966999999999999</v>
      </c>
      <c r="H940">
        <v>-5</v>
      </c>
      <c r="I940">
        <v>350</v>
      </c>
      <c r="J940" t="str">
        <f>HYPERLINK("https://climate.onebuilding.org/WMO_Region_4_North_and_Central_America/USA_United_States_of_America/VA_Virginia/USA_VA_Roanoke-Blacksburg.Rgnl.AP-Woodrum.Field.724110_TMY3.zip")</f>
        <v>https://climate.onebuilding.org/WMO_Region_4_North_and_Central_America/USA_United_States_of_America/VA_Virginia/USA_VA_Roanoke-Blacksburg.Rgnl.AP-Woodrum.Field.724110_TMY3.zip</v>
      </c>
    </row>
    <row r="941" spans="1:10" x14ac:dyDescent="0.25">
      <c r="A941" t="s">
        <v>15</v>
      </c>
      <c r="B941" t="s">
        <v>976</v>
      </c>
      <c r="C941" t="s">
        <v>1004</v>
      </c>
      <c r="D941">
        <v>724105</v>
      </c>
      <c r="E941" t="s">
        <v>13</v>
      </c>
      <c r="F941">
        <v>38.267000000000003</v>
      </c>
      <c r="G941">
        <v>-78.900000000000006</v>
      </c>
      <c r="H941">
        <v>-5</v>
      </c>
      <c r="I941">
        <v>366</v>
      </c>
      <c r="J941" t="str">
        <f>HYPERLINK("https://climate.onebuilding.org/WMO_Region_4_North_and_Central_America/USA_United_States_of_America/VA_Virginia/USA_VA_Staunton-Shenandoah.Valley.Rgnl.AP.724105_TMY3.zip")</f>
        <v>https://climate.onebuilding.org/WMO_Region_4_North_and_Central_America/USA_United_States_of_America/VA_Virginia/USA_VA_Staunton-Shenandoah.Valley.Rgnl.AP.724105_TMY3.zip</v>
      </c>
    </row>
    <row r="942" spans="1:10" x14ac:dyDescent="0.25">
      <c r="A942" t="s">
        <v>15</v>
      </c>
      <c r="B942" t="s">
        <v>976</v>
      </c>
      <c r="C942" t="s">
        <v>1005</v>
      </c>
      <c r="D942">
        <v>724030</v>
      </c>
      <c r="E942" t="s">
        <v>13</v>
      </c>
      <c r="F942">
        <v>38.979999999999997</v>
      </c>
      <c r="G942">
        <v>-77.47</v>
      </c>
      <c r="H942">
        <v>-5</v>
      </c>
      <c r="I942">
        <v>82</v>
      </c>
      <c r="J942" t="str">
        <f>HYPERLINK("https://climate.onebuilding.org/WMO_Region_4_North_and_Central_America/USA_United_States_of_America/VA_Virginia/USA_VA_Dulles-Washington.Dulles.Intl.AP.724030_TMY3.zip")</f>
        <v>https://climate.onebuilding.org/WMO_Region_4_North_and_Central_America/USA_United_States_of_America/VA_Virginia/USA_VA_Dulles-Washington.Dulles.Intl.AP.724030_TMY3.zip</v>
      </c>
    </row>
    <row r="943" spans="1:10" x14ac:dyDescent="0.25">
      <c r="A943" t="s">
        <v>15</v>
      </c>
      <c r="B943" t="s">
        <v>976</v>
      </c>
      <c r="C943" t="s">
        <v>1006</v>
      </c>
      <c r="D943">
        <v>724053</v>
      </c>
      <c r="E943" t="s">
        <v>13</v>
      </c>
      <c r="F943">
        <v>39.15</v>
      </c>
      <c r="G943">
        <v>-78.150000000000006</v>
      </c>
      <c r="H943">
        <v>-5</v>
      </c>
      <c r="I943">
        <v>222</v>
      </c>
      <c r="J943" t="str">
        <f>HYPERLINK("https://climate.onebuilding.org/WMO_Region_4_North_and_Central_America/USA_United_States_of_America/VA_Virginia/USA_VA_Winchester.Rgnl.AP.724053_TMY3.zip")</f>
        <v>https://climate.onebuilding.org/WMO_Region_4_North_and_Central_America/USA_United_States_of_America/VA_Virginia/USA_VA_Winchester.Rgnl.AP.724053_TMY3.zip</v>
      </c>
    </row>
    <row r="944" spans="1:10" x14ac:dyDescent="0.25">
      <c r="A944" t="s">
        <v>15</v>
      </c>
      <c r="B944" t="s">
        <v>976</v>
      </c>
      <c r="C944" t="s">
        <v>1007</v>
      </c>
      <c r="D944">
        <v>724117</v>
      </c>
      <c r="E944" t="s">
        <v>13</v>
      </c>
      <c r="F944">
        <v>36.982999999999997</v>
      </c>
      <c r="G944">
        <v>-82.533000000000001</v>
      </c>
      <c r="H944">
        <v>-5</v>
      </c>
      <c r="I944">
        <v>817</v>
      </c>
      <c r="J944" t="str">
        <f>HYPERLINK("https://climate.onebuilding.org/WMO_Region_4_North_and_Central_America/USA_United_States_of_America/VA_Virginia/USA_VA_Wise-Lonesome.Pine.AP.724117_TMY3.zip")</f>
        <v>https://climate.onebuilding.org/WMO_Region_4_North_and_Central_America/USA_United_States_of_America/VA_Virginia/USA_VA_Wise-Lonesome.Pine.AP.724117_TMY3.zip</v>
      </c>
    </row>
    <row r="945" spans="1:10" x14ac:dyDescent="0.25">
      <c r="A945" t="s">
        <v>15</v>
      </c>
      <c r="B945" t="s">
        <v>1008</v>
      </c>
      <c r="C945" t="s">
        <v>1009</v>
      </c>
      <c r="D945">
        <v>726170</v>
      </c>
      <c r="E945" t="s">
        <v>13</v>
      </c>
      <c r="F945">
        <v>44.466999999999999</v>
      </c>
      <c r="G945">
        <v>-73.150000000000006</v>
      </c>
      <c r="H945">
        <v>-5</v>
      </c>
      <c r="I945">
        <v>101</v>
      </c>
      <c r="J945" t="str">
        <f>HYPERLINK("https://climate.onebuilding.org/WMO_Region_4_North_and_Central_America/USA_United_States_of_America/VT_Vermont/USA_VT_Burlington.Intl.AP.726170_TMY3.zip")</f>
        <v>https://climate.onebuilding.org/WMO_Region_4_North_and_Central_America/USA_United_States_of_America/VT_Vermont/USA_VT_Burlington.Intl.AP.726170_TMY3.zip</v>
      </c>
    </row>
    <row r="946" spans="1:10" x14ac:dyDescent="0.25">
      <c r="A946" t="s">
        <v>15</v>
      </c>
      <c r="B946" t="s">
        <v>1008</v>
      </c>
      <c r="C946" t="s">
        <v>1010</v>
      </c>
      <c r="D946">
        <v>726145</v>
      </c>
      <c r="E946" t="s">
        <v>13</v>
      </c>
      <c r="F946">
        <v>44.2</v>
      </c>
      <c r="G946">
        <v>-72.566999999999993</v>
      </c>
      <c r="H946">
        <v>-5</v>
      </c>
      <c r="I946">
        <v>343</v>
      </c>
      <c r="J946" t="str">
        <f>HYPERLINK("https://climate.onebuilding.org/WMO_Region_4_North_and_Central_America/USA_United_States_of_America/VT_Vermont/USA_VT_Montpelier-Knapp.State.AP.726145_TMY3.zip")</f>
        <v>https://climate.onebuilding.org/WMO_Region_4_North_and_Central_America/USA_United_States_of_America/VT_Vermont/USA_VT_Montpelier-Knapp.State.AP.726145_TMY3.zip</v>
      </c>
    </row>
    <row r="947" spans="1:10" x14ac:dyDescent="0.25">
      <c r="A947" t="s">
        <v>15</v>
      </c>
      <c r="B947" t="s">
        <v>1008</v>
      </c>
      <c r="C947" t="s">
        <v>1011</v>
      </c>
      <c r="D947">
        <v>725165</v>
      </c>
      <c r="E947" t="s">
        <v>13</v>
      </c>
      <c r="F947">
        <v>43.517000000000003</v>
      </c>
      <c r="G947">
        <v>-72.95</v>
      </c>
      <c r="H947">
        <v>-5</v>
      </c>
      <c r="I947">
        <v>246</v>
      </c>
      <c r="J947" t="str">
        <f>HYPERLINK("https://climate.onebuilding.org/WMO_Region_4_North_and_Central_America/USA_United_States_of_America/VT_Vermont/USA_VT_Rutland-Southern.Vermont.Rgnl.AP.725165_TMY3.zip")</f>
        <v>https://climate.onebuilding.org/WMO_Region_4_North_and_Central_America/USA_United_States_of_America/VT_Vermont/USA_VT_Rutland-Southern.Vermont.Rgnl.AP.725165_TMY3.zip</v>
      </c>
    </row>
    <row r="948" spans="1:10" x14ac:dyDescent="0.25">
      <c r="A948" t="s">
        <v>15</v>
      </c>
      <c r="B948" t="s">
        <v>1008</v>
      </c>
      <c r="C948" t="s">
        <v>1012</v>
      </c>
      <c r="D948">
        <v>726115</v>
      </c>
      <c r="E948" t="s">
        <v>13</v>
      </c>
      <c r="F948">
        <v>43.35</v>
      </c>
      <c r="G948">
        <v>-72.516999999999996</v>
      </c>
      <c r="H948">
        <v>-5</v>
      </c>
      <c r="I948">
        <v>176</v>
      </c>
      <c r="J948" t="str">
        <f>HYPERLINK("https://climate.onebuilding.org/WMO_Region_4_North_and_Central_America/USA_United_States_of_America/VT_Vermont/USA_VT_Springfield-Hartness.State.AP.726115_TMY3.zip")</f>
        <v>https://climate.onebuilding.org/WMO_Region_4_North_and_Central_America/USA_United_States_of_America/VT_Vermont/USA_VT_Springfield-Hartness.State.AP.726115_TMY3.zip</v>
      </c>
    </row>
    <row r="949" spans="1:10" x14ac:dyDescent="0.25">
      <c r="A949" t="s">
        <v>15</v>
      </c>
      <c r="B949" t="s">
        <v>1013</v>
      </c>
      <c r="C949" t="s">
        <v>1014</v>
      </c>
      <c r="D949">
        <v>727976</v>
      </c>
      <c r="E949" t="s">
        <v>13</v>
      </c>
      <c r="F949">
        <v>48.8</v>
      </c>
      <c r="G949">
        <v>-122.533</v>
      </c>
      <c r="H949">
        <v>-8</v>
      </c>
      <c r="I949">
        <v>45</v>
      </c>
      <c r="J949" t="str">
        <f>HYPERLINK("https://climate.onebuilding.org/WMO_Region_4_North_and_Central_America/USA_United_States_of_America/WA_Washington/USA_WA_Bellingham.Intl.AP.727976_TMY3.zip")</f>
        <v>https://climate.onebuilding.org/WMO_Region_4_North_and_Central_America/USA_United_States_of_America/WA_Washington/USA_WA_Bellingham.Intl.AP.727976_TMY3.zip</v>
      </c>
    </row>
    <row r="950" spans="1:10" x14ac:dyDescent="0.25">
      <c r="A950" t="s">
        <v>15</v>
      </c>
      <c r="B950" t="s">
        <v>1013</v>
      </c>
      <c r="C950" t="s">
        <v>1015</v>
      </c>
      <c r="D950">
        <v>727928</v>
      </c>
      <c r="E950" t="s">
        <v>13</v>
      </c>
      <c r="F950">
        <v>47.482999999999997</v>
      </c>
      <c r="G950">
        <v>-122.75</v>
      </c>
      <c r="H950">
        <v>-8</v>
      </c>
      <c r="I950">
        <v>137</v>
      </c>
      <c r="J950" t="str">
        <f>HYPERLINK("https://climate.onebuilding.org/WMO_Region_4_North_and_Central_America/USA_United_States_of_America/WA_Washington/USA_WA_Bremerton.Natl.AP.727928_TMY3.zip")</f>
        <v>https://climate.onebuilding.org/WMO_Region_4_North_and_Central_America/USA_United_States_of_America/WA_Washington/USA_WA_Bremerton.Natl.AP.727928_TMY3.zip</v>
      </c>
    </row>
    <row r="951" spans="1:10" x14ac:dyDescent="0.25">
      <c r="A951" t="s">
        <v>15</v>
      </c>
      <c r="B951" t="s">
        <v>1013</v>
      </c>
      <c r="C951" t="s">
        <v>1016</v>
      </c>
      <c r="D951">
        <v>727900</v>
      </c>
      <c r="E951" t="s">
        <v>13</v>
      </c>
      <c r="F951">
        <v>47.3</v>
      </c>
      <c r="G951">
        <v>-119.517</v>
      </c>
      <c r="H951">
        <v>-8</v>
      </c>
      <c r="I951">
        <v>384</v>
      </c>
      <c r="J951" t="str">
        <f>HYPERLINK("https://climate.onebuilding.org/WMO_Region_4_North_and_Central_America/USA_United_States_of_America/WA_Washington/USA_WA_Ephrata.Muni.AP.727900_TMY3.zip")</f>
        <v>https://climate.onebuilding.org/WMO_Region_4_North_and_Central_America/USA_United_States_of_America/WA_Washington/USA_WA_Ephrata.Muni.AP.727900_TMY3.zip</v>
      </c>
    </row>
    <row r="952" spans="1:10" x14ac:dyDescent="0.25">
      <c r="A952" t="s">
        <v>15</v>
      </c>
      <c r="B952" t="s">
        <v>1013</v>
      </c>
      <c r="C952" t="s">
        <v>1017</v>
      </c>
      <c r="D952">
        <v>727855</v>
      </c>
      <c r="E952" t="s">
        <v>13</v>
      </c>
      <c r="F952">
        <v>47.633000000000003</v>
      </c>
      <c r="G952">
        <v>-117.65</v>
      </c>
      <c r="H952">
        <v>-8</v>
      </c>
      <c r="I952">
        <v>743</v>
      </c>
      <c r="J952" t="str">
        <f>HYPERLINK("https://climate.onebuilding.org/WMO_Region_4_North_and_Central_America/USA_United_States_of_America/WA_Washington/USA_WA_Spokane-Fairchild.AFB.727855_TMY3.zip")</f>
        <v>https://climate.onebuilding.org/WMO_Region_4_North_and_Central_America/USA_United_States_of_America/WA_Washington/USA_WA_Spokane-Fairchild.AFB.727855_TMY3.zip</v>
      </c>
    </row>
    <row r="953" spans="1:10" x14ac:dyDescent="0.25">
      <c r="A953" t="s">
        <v>15</v>
      </c>
      <c r="B953" t="s">
        <v>1013</v>
      </c>
      <c r="C953" t="s">
        <v>1018</v>
      </c>
      <c r="D953">
        <v>742070</v>
      </c>
      <c r="E953" t="s">
        <v>13</v>
      </c>
      <c r="F953">
        <v>47.082999999999998</v>
      </c>
      <c r="G953">
        <v>-122.583</v>
      </c>
      <c r="H953">
        <v>-8</v>
      </c>
      <c r="I953">
        <v>90</v>
      </c>
      <c r="J953" t="str">
        <f>HYPERLINK("https://climate.onebuilding.org/WMO_Region_4_North_and_Central_America/USA_United_States_of_America/WA_Washington/USA_WA_Takoma-JB.Lewis-McChord-Gray.AAF.742070_TMY3.zip")</f>
        <v>https://climate.onebuilding.org/WMO_Region_4_North_and_Central_America/USA_United_States_of_America/WA_Washington/USA_WA_Takoma-JB.Lewis-McChord-Gray.AAF.742070_TMY3.zip</v>
      </c>
    </row>
    <row r="954" spans="1:10" x14ac:dyDescent="0.25">
      <c r="A954" t="s">
        <v>15</v>
      </c>
      <c r="B954" t="s">
        <v>1013</v>
      </c>
      <c r="C954" t="s">
        <v>1019</v>
      </c>
      <c r="D954">
        <v>727840</v>
      </c>
      <c r="E954" t="s">
        <v>13</v>
      </c>
      <c r="F954">
        <v>46.567</v>
      </c>
      <c r="G954">
        <v>-119.6</v>
      </c>
      <c r="H954">
        <v>-8</v>
      </c>
      <c r="I954">
        <v>223</v>
      </c>
      <c r="J954" t="str">
        <f>HYPERLINK("https://climate.onebuilding.org/WMO_Region_4_North_and_Central_America/USA_United_States_of_America/WA_Washington/USA_WA_Hanford.MS.727840_TMY3.zip")</f>
        <v>https://climate.onebuilding.org/WMO_Region_4_North_and_Central_America/USA_United_States_of_America/WA_Washington/USA_WA_Hanford.MS.727840_TMY3.zip</v>
      </c>
    </row>
    <row r="955" spans="1:10" x14ac:dyDescent="0.25">
      <c r="A955" t="s">
        <v>15</v>
      </c>
      <c r="B955" t="s">
        <v>1013</v>
      </c>
      <c r="C955" t="s">
        <v>1020</v>
      </c>
      <c r="D955">
        <v>727923</v>
      </c>
      <c r="E955" t="s">
        <v>13</v>
      </c>
      <c r="F955">
        <v>46.982999999999997</v>
      </c>
      <c r="G955">
        <v>-123.93300000000001</v>
      </c>
      <c r="H955">
        <v>-8</v>
      </c>
      <c r="I955">
        <v>4</v>
      </c>
      <c r="J955" t="str">
        <f>HYPERLINK("https://climate.onebuilding.org/WMO_Region_4_North_and_Central_America/USA_United_States_of_America/WA_Washington/USA_WA_Hoquiam-Bowerman.AP.727923_TMY3.zip")</f>
        <v>https://climate.onebuilding.org/WMO_Region_4_North_and_Central_America/USA_United_States_of_America/WA_Washington/USA_WA_Hoquiam-Bowerman.AP.727923_TMY3.zip</v>
      </c>
    </row>
    <row r="956" spans="1:10" x14ac:dyDescent="0.25">
      <c r="A956" t="s">
        <v>15</v>
      </c>
      <c r="B956" t="s">
        <v>1013</v>
      </c>
      <c r="C956" t="s">
        <v>1021</v>
      </c>
      <c r="D956">
        <v>727924</v>
      </c>
      <c r="E956" t="s">
        <v>13</v>
      </c>
      <c r="F956">
        <v>46.133000000000003</v>
      </c>
      <c r="G956">
        <v>-122.9</v>
      </c>
      <c r="H956">
        <v>-8</v>
      </c>
      <c r="I956">
        <v>5</v>
      </c>
      <c r="J956" t="str">
        <f>HYPERLINK("https://climate.onebuilding.org/WMO_Region_4_North_and_Central_America/USA_United_States_of_America/WA_Washington/USA_WA_Kelso-Longview-Southwest.Washington.Rgnl.AP.727924_TMY3.zip")</f>
        <v>https://climate.onebuilding.org/WMO_Region_4_North_and_Central_America/USA_United_States_of_America/WA_Washington/USA_WA_Kelso-Longview-Southwest.Washington.Rgnl.AP.727924_TMY3.zip</v>
      </c>
    </row>
    <row r="957" spans="1:10" x14ac:dyDescent="0.25">
      <c r="A957" t="s">
        <v>15</v>
      </c>
      <c r="B957" t="s">
        <v>1013</v>
      </c>
      <c r="C957" t="s">
        <v>1022</v>
      </c>
      <c r="D957">
        <v>727827</v>
      </c>
      <c r="E957" t="s">
        <v>13</v>
      </c>
      <c r="F957">
        <v>47.2</v>
      </c>
      <c r="G957">
        <v>-119.31699999999999</v>
      </c>
      <c r="H957">
        <v>-8</v>
      </c>
      <c r="I957">
        <v>364</v>
      </c>
      <c r="J957" t="str">
        <f>HYPERLINK("https://climate.onebuilding.org/WMO_Region_4_North_and_Central_America/USA_United_States_of_America/WA_Washington/USA_WA_Moses.Lake-Grant.County.Intl.AP.727827_TMY3.zip")</f>
        <v>https://climate.onebuilding.org/WMO_Region_4_North_and_Central_America/USA_United_States_of_America/WA_Washington/USA_WA_Moses.Lake-Grant.County.Intl.AP.727827_TMY3.zip</v>
      </c>
    </row>
    <row r="958" spans="1:10" x14ac:dyDescent="0.25">
      <c r="A958" t="s">
        <v>15</v>
      </c>
      <c r="B958" t="s">
        <v>1013</v>
      </c>
      <c r="C958" t="s">
        <v>1023</v>
      </c>
      <c r="D958">
        <v>727920</v>
      </c>
      <c r="E958" t="s">
        <v>13</v>
      </c>
      <c r="F958">
        <v>46.966999999999999</v>
      </c>
      <c r="G958">
        <v>-122.9</v>
      </c>
      <c r="H958">
        <v>-8</v>
      </c>
      <c r="I958">
        <v>63</v>
      </c>
      <c r="J958" t="str">
        <f>HYPERLINK("https://climate.onebuilding.org/WMO_Region_4_North_and_Central_America/USA_United_States_of_America/WA_Washington/USA_WA_Olympia.Rgnl.AP.727920_TMY3.zip")</f>
        <v>https://climate.onebuilding.org/WMO_Region_4_North_and_Central_America/USA_United_States_of_America/WA_Washington/USA_WA_Olympia.Rgnl.AP.727920_TMY3.zip</v>
      </c>
    </row>
    <row r="959" spans="1:10" x14ac:dyDescent="0.25">
      <c r="A959" t="s">
        <v>15</v>
      </c>
      <c r="B959" t="s">
        <v>1013</v>
      </c>
      <c r="C959" t="s">
        <v>1024</v>
      </c>
      <c r="D959">
        <v>727845</v>
      </c>
      <c r="E959" t="s">
        <v>13</v>
      </c>
      <c r="F959">
        <v>46.267000000000003</v>
      </c>
      <c r="G959">
        <v>-119.117</v>
      </c>
      <c r="H959">
        <v>-8</v>
      </c>
      <c r="I959">
        <v>136</v>
      </c>
      <c r="J959" t="str">
        <f>HYPERLINK("https://climate.onebuilding.org/WMO_Region_4_North_and_Central_America/USA_United_States_of_America/WA_Washington/USA_WA_Pasco-Tri.Cities.AP.727845_TMY3.zip")</f>
        <v>https://climate.onebuilding.org/WMO_Region_4_North_and_Central_America/USA_United_States_of_America/WA_Washington/USA_WA_Pasco-Tri.Cities.AP.727845_TMY3.zip</v>
      </c>
    </row>
    <row r="960" spans="1:10" x14ac:dyDescent="0.25">
      <c r="A960" t="s">
        <v>15</v>
      </c>
      <c r="B960" t="s">
        <v>1013</v>
      </c>
      <c r="C960" t="s">
        <v>1025</v>
      </c>
      <c r="D960">
        <v>727885</v>
      </c>
      <c r="E960" t="s">
        <v>13</v>
      </c>
      <c r="F960">
        <v>48.116999999999997</v>
      </c>
      <c r="G960">
        <v>-123.5</v>
      </c>
      <c r="H960">
        <v>-8</v>
      </c>
      <c r="I960">
        <v>91</v>
      </c>
      <c r="J960" t="str">
        <f>HYPERLINK("https://climate.onebuilding.org/WMO_Region_4_North_and_Central_America/USA_United_States_of_America/WA_Washington/USA_WA_Port.Angeles-Fairchild.Intl.AP.727885_TMY3.zip")</f>
        <v>https://climate.onebuilding.org/WMO_Region_4_North_and_Central_America/USA_United_States_of_America/WA_Washington/USA_WA_Port.Angeles-Fairchild.Intl.AP.727885_TMY3.zip</v>
      </c>
    </row>
    <row r="961" spans="1:10" x14ac:dyDescent="0.25">
      <c r="A961" t="s">
        <v>15</v>
      </c>
      <c r="B961" t="s">
        <v>1013</v>
      </c>
      <c r="C961" t="s">
        <v>1026</v>
      </c>
      <c r="D961">
        <v>727857</v>
      </c>
      <c r="E961" t="s">
        <v>13</v>
      </c>
      <c r="F961">
        <v>46.75</v>
      </c>
      <c r="G961">
        <v>-117.117</v>
      </c>
      <c r="H961">
        <v>-8</v>
      </c>
      <c r="I961">
        <v>778</v>
      </c>
      <c r="J961" t="str">
        <f>HYPERLINK("https://climate.onebuilding.org/WMO_Region_4_North_and_Central_America/USA_United_States_of_America/WA_Washington/USA_WA_Pullman-Moscow.Rgnl.AP.727857_TMY3.zip")</f>
        <v>https://climate.onebuilding.org/WMO_Region_4_North_and_Central_America/USA_United_States_of_America/WA_Washington/USA_WA_Pullman-Moscow.Rgnl.AP.727857_TMY3.zip</v>
      </c>
    </row>
    <row r="962" spans="1:10" x14ac:dyDescent="0.25">
      <c r="A962" t="s">
        <v>15</v>
      </c>
      <c r="B962" t="s">
        <v>1013</v>
      </c>
      <c r="C962" t="s">
        <v>1027</v>
      </c>
      <c r="D962">
        <v>727970</v>
      </c>
      <c r="E962" t="s">
        <v>13</v>
      </c>
      <c r="F962">
        <v>47.933</v>
      </c>
      <c r="G962">
        <v>-124.56699999999999</v>
      </c>
      <c r="H962">
        <v>-8</v>
      </c>
      <c r="I962">
        <v>55</v>
      </c>
      <c r="J962" t="str">
        <f>HYPERLINK("https://climate.onebuilding.org/WMO_Region_4_North_and_Central_America/USA_United_States_of_America/WA_Washington/USA_WA_Quillayute.AP.727970_TMY3.zip")</f>
        <v>https://climate.onebuilding.org/WMO_Region_4_North_and_Central_America/USA_United_States_of_America/WA_Washington/USA_WA_Quillayute.AP.727970_TMY3.zip</v>
      </c>
    </row>
    <row r="963" spans="1:10" x14ac:dyDescent="0.25">
      <c r="A963" t="s">
        <v>15</v>
      </c>
      <c r="B963" t="s">
        <v>1013</v>
      </c>
      <c r="C963" t="s">
        <v>1028</v>
      </c>
      <c r="D963">
        <v>727934</v>
      </c>
      <c r="E963" t="s">
        <v>13</v>
      </c>
      <c r="F963">
        <v>47.491</v>
      </c>
      <c r="G963">
        <v>-122.21599999999999</v>
      </c>
      <c r="H963">
        <v>-8</v>
      </c>
      <c r="I963">
        <v>10</v>
      </c>
      <c r="J963" t="str">
        <f>HYPERLINK("https://climate.onebuilding.org/WMO_Region_4_North_and_Central_America/USA_United_States_of_America/WA_Washington/USA_WA_Renton.Muni.AP.727934_TMY3.zip")</f>
        <v>https://climate.onebuilding.org/WMO_Region_4_North_and_Central_America/USA_United_States_of_America/WA_Washington/USA_WA_Renton.Muni.AP.727934_TMY3.zip</v>
      </c>
    </row>
    <row r="964" spans="1:10" x14ac:dyDescent="0.25">
      <c r="A964" t="s">
        <v>15</v>
      </c>
      <c r="B964" t="s">
        <v>1013</v>
      </c>
      <c r="C964" t="s">
        <v>1029</v>
      </c>
      <c r="D964">
        <v>727935</v>
      </c>
      <c r="E964" t="s">
        <v>13</v>
      </c>
      <c r="F964">
        <v>47.53</v>
      </c>
      <c r="G964">
        <v>-122.30200000000001</v>
      </c>
      <c r="H964">
        <v>-8</v>
      </c>
      <c r="I964">
        <v>20</v>
      </c>
      <c r="J964" t="str">
        <f>HYPERLINK("https://climate.onebuilding.org/WMO_Region_4_North_and_Central_America/USA_United_States_of_America/WA_Washington/USA_WA_Seattle-King.County.Intl.AP-Boeing.Field.727935_TMY3.zip")</f>
        <v>https://climate.onebuilding.org/WMO_Region_4_North_and_Central_America/USA_United_States_of_America/WA_Washington/USA_WA_Seattle-King.County.Intl.AP-Boeing.Field.727935_TMY3.zip</v>
      </c>
    </row>
    <row r="965" spans="1:10" x14ac:dyDescent="0.25">
      <c r="A965" t="s">
        <v>15</v>
      </c>
      <c r="B965" t="s">
        <v>1013</v>
      </c>
      <c r="C965" t="s">
        <v>1030</v>
      </c>
      <c r="D965">
        <v>727930</v>
      </c>
      <c r="E965" t="s">
        <v>13</v>
      </c>
      <c r="F965">
        <v>47.442999999999998</v>
      </c>
      <c r="G965">
        <v>-122.306</v>
      </c>
      <c r="H965">
        <v>-8</v>
      </c>
      <c r="I965">
        <v>122</v>
      </c>
      <c r="J965" t="str">
        <f>HYPERLINK("https://climate.onebuilding.org/WMO_Region_4_North_and_Central_America/USA_United_States_of_America/WA_Washington/USA_WA_Seattle-Tacoma.Intl.AP.727930_TMY3.zip")</f>
        <v>https://climate.onebuilding.org/WMO_Region_4_North_and_Central_America/USA_United_States_of_America/WA_Washington/USA_WA_Seattle-Tacoma.Intl.AP.727930_TMY3.zip</v>
      </c>
    </row>
    <row r="966" spans="1:10" x14ac:dyDescent="0.25">
      <c r="A966" t="s">
        <v>15</v>
      </c>
      <c r="B966" t="s">
        <v>1013</v>
      </c>
      <c r="C966" t="s">
        <v>1031</v>
      </c>
      <c r="D966">
        <v>727937</v>
      </c>
      <c r="E966" t="s">
        <v>13</v>
      </c>
      <c r="F966">
        <v>47.9</v>
      </c>
      <c r="G966">
        <v>-122.283</v>
      </c>
      <c r="H966">
        <v>-8</v>
      </c>
      <c r="I966">
        <v>189</v>
      </c>
      <c r="J966" t="str">
        <f>HYPERLINK("https://climate.onebuilding.org/WMO_Region_4_North_and_Central_America/USA_United_States_of_America/WA_Washington/USA_WA_Everett-Snohomish.County.AP-Paine.Field.727937_TMY3.zip")</f>
        <v>https://climate.onebuilding.org/WMO_Region_4_North_and_Central_America/USA_United_States_of_America/WA_Washington/USA_WA_Everett-Snohomish.County.AP-Paine.Field.727937_TMY3.zip</v>
      </c>
    </row>
    <row r="967" spans="1:10" x14ac:dyDescent="0.25">
      <c r="A967" t="s">
        <v>15</v>
      </c>
      <c r="B967" t="s">
        <v>1013</v>
      </c>
      <c r="C967" t="s">
        <v>1032</v>
      </c>
      <c r="D967">
        <v>727856</v>
      </c>
      <c r="E967" t="s">
        <v>13</v>
      </c>
      <c r="F967">
        <v>47.683</v>
      </c>
      <c r="G967">
        <v>-117.31699999999999</v>
      </c>
      <c r="H967">
        <v>-8</v>
      </c>
      <c r="I967">
        <v>610</v>
      </c>
      <c r="J967" t="str">
        <f>HYPERLINK("https://climate.onebuilding.org/WMO_Region_4_North_and_Central_America/USA_United_States_of_America/WA_Washington/USA_WA_Spokane-Felts.Field.727856_TMY3.zip")</f>
        <v>https://climate.onebuilding.org/WMO_Region_4_North_and_Central_America/USA_United_States_of_America/WA_Washington/USA_WA_Spokane-Felts.Field.727856_TMY3.zip</v>
      </c>
    </row>
    <row r="968" spans="1:10" x14ac:dyDescent="0.25">
      <c r="A968" t="s">
        <v>15</v>
      </c>
      <c r="B968" t="s">
        <v>1013</v>
      </c>
      <c r="C968" t="s">
        <v>1033</v>
      </c>
      <c r="D968">
        <v>727850</v>
      </c>
      <c r="E968" t="s">
        <v>13</v>
      </c>
      <c r="F968">
        <v>47.62</v>
      </c>
      <c r="G968">
        <v>-117.536</v>
      </c>
      <c r="H968">
        <v>-8</v>
      </c>
      <c r="I968">
        <v>777</v>
      </c>
      <c r="J968" t="str">
        <f>HYPERLINK("https://climate.onebuilding.org/WMO_Region_4_North_and_Central_America/USA_United_States_of_America/WA_Washington/USA_WA_Spokane.Intl.AP.727850_TMY3.zip")</f>
        <v>https://climate.onebuilding.org/WMO_Region_4_North_and_Central_America/USA_United_States_of_America/WA_Washington/USA_WA_Spokane.Intl.AP.727850_TMY3.zip</v>
      </c>
    </row>
    <row r="969" spans="1:10" x14ac:dyDescent="0.25">
      <c r="A969" t="s">
        <v>15</v>
      </c>
      <c r="B969" t="s">
        <v>1013</v>
      </c>
      <c r="C969" t="s">
        <v>1034</v>
      </c>
      <c r="D969">
        <v>727815</v>
      </c>
      <c r="E969" t="s">
        <v>13</v>
      </c>
      <c r="F969">
        <v>47.283000000000001</v>
      </c>
      <c r="G969">
        <v>-121.333</v>
      </c>
      <c r="H969">
        <v>-8</v>
      </c>
      <c r="I969">
        <v>1206</v>
      </c>
      <c r="J969" t="str">
        <f>HYPERLINK("https://climate.onebuilding.org/WMO_Region_4_North_and_Central_America/USA_United_States_of_America/WA_Washington/USA_WA_Stampede.Pass.727815_TMY3.zip")</f>
        <v>https://climate.onebuilding.org/WMO_Region_4_North_and_Central_America/USA_United_States_of_America/WA_Washington/USA_WA_Stampede.Pass.727815_TMY3.zip</v>
      </c>
    </row>
    <row r="970" spans="1:10" x14ac:dyDescent="0.25">
      <c r="A970" t="s">
        <v>15</v>
      </c>
      <c r="B970" t="s">
        <v>1013</v>
      </c>
      <c r="C970" t="s">
        <v>1035</v>
      </c>
      <c r="D970">
        <v>742060</v>
      </c>
      <c r="E970" t="s">
        <v>13</v>
      </c>
      <c r="F970">
        <v>47.15</v>
      </c>
      <c r="G970">
        <v>-122.483</v>
      </c>
      <c r="H970">
        <v>-8</v>
      </c>
      <c r="I970">
        <v>88</v>
      </c>
      <c r="J970" t="str">
        <f>HYPERLINK("https://climate.onebuilding.org/WMO_Region_4_North_and_Central_America/USA_United_States_of_America/WA_Washington/USA_WA_Tacoma-JB.Lewis-McChord-McChord.Field.742060_TMY3.zip")</f>
        <v>https://climate.onebuilding.org/WMO_Region_4_North_and_Central_America/USA_United_States_of_America/WA_Washington/USA_WA_Tacoma-JB.Lewis-McChord-McChord.Field.742060_TMY3.zip</v>
      </c>
    </row>
    <row r="971" spans="1:10" x14ac:dyDescent="0.25">
      <c r="A971" t="s">
        <v>15</v>
      </c>
      <c r="B971" t="s">
        <v>1013</v>
      </c>
      <c r="C971" t="s">
        <v>1036</v>
      </c>
      <c r="D971">
        <v>727938</v>
      </c>
      <c r="E971" t="s">
        <v>13</v>
      </c>
      <c r="F971">
        <v>47.267000000000003</v>
      </c>
      <c r="G971">
        <v>-122.583</v>
      </c>
      <c r="H971">
        <v>-8</v>
      </c>
      <c r="I971">
        <v>91</v>
      </c>
      <c r="J971" t="str">
        <f>HYPERLINK("https://climate.onebuilding.org/WMO_Region_4_North_and_Central_America/USA_United_States_of_America/WA_Washington/USA_WA_Tacoma.Narrows.AP.727938_TMY3.zip")</f>
        <v>https://climate.onebuilding.org/WMO_Region_4_North_and_Central_America/USA_United_States_of_America/WA_Washington/USA_WA_Tacoma.Narrows.AP.727938_TMY3.zip</v>
      </c>
    </row>
    <row r="972" spans="1:10" x14ac:dyDescent="0.25">
      <c r="A972" t="s">
        <v>15</v>
      </c>
      <c r="B972" t="s">
        <v>1013</v>
      </c>
      <c r="C972" t="s">
        <v>1037</v>
      </c>
      <c r="D972">
        <v>726988</v>
      </c>
      <c r="E972" t="s">
        <v>13</v>
      </c>
      <c r="F972">
        <v>45.616999999999997</v>
      </c>
      <c r="G972">
        <v>-121.15</v>
      </c>
      <c r="H972">
        <v>-8</v>
      </c>
      <c r="I972">
        <v>73</v>
      </c>
      <c r="J972" t="str">
        <f>HYPERLINK("https://climate.onebuilding.org/WMO_Region_4_North_and_Central_America/USA_United_States_of_America/WA_Washington/USA_WA_The.Dalles-Columbia.Gorge.Rgnl.AP.726988_TMY3.zip")</f>
        <v>https://climate.onebuilding.org/WMO_Region_4_North_and_Central_America/USA_United_States_of_America/WA_Washington/USA_WA_The.Dalles-Columbia.Gorge.Rgnl.AP.726988_TMY3.zip</v>
      </c>
    </row>
    <row r="973" spans="1:10" x14ac:dyDescent="0.25">
      <c r="A973" t="s">
        <v>15</v>
      </c>
      <c r="B973" t="s">
        <v>1013</v>
      </c>
      <c r="C973" t="s">
        <v>1038</v>
      </c>
      <c r="D973">
        <v>727926</v>
      </c>
      <c r="E973" t="s">
        <v>13</v>
      </c>
      <c r="F973">
        <v>46.482999999999997</v>
      </c>
      <c r="G973">
        <v>-122.8</v>
      </c>
      <c r="H973">
        <v>-8</v>
      </c>
      <c r="I973">
        <v>113</v>
      </c>
      <c r="J973" t="str">
        <f>HYPERLINK("https://climate.onebuilding.org/WMO_Region_4_North_and_Central_America/USA_United_States_of_America/WA_Washington/USA_WA_Toledo-South.Lewis.County.AP-Carlson.Meml.Field.727926_TMY3.zip")</f>
        <v>https://climate.onebuilding.org/WMO_Region_4_North_and_Central_America/USA_United_States_of_America/WA_Washington/USA_WA_Toledo-South.Lewis.County.AP-Carlson.Meml.Field.727926_TMY3.zip</v>
      </c>
    </row>
    <row r="974" spans="1:10" x14ac:dyDescent="0.25">
      <c r="A974" t="s">
        <v>15</v>
      </c>
      <c r="B974" t="s">
        <v>1013</v>
      </c>
      <c r="C974" t="s">
        <v>1039</v>
      </c>
      <c r="D974">
        <v>727846</v>
      </c>
      <c r="E974" t="s">
        <v>13</v>
      </c>
      <c r="F974">
        <v>46.1</v>
      </c>
      <c r="G974">
        <v>-118.283</v>
      </c>
      <c r="H974">
        <v>-8</v>
      </c>
      <c r="I974">
        <v>355</v>
      </c>
      <c r="J974" t="str">
        <f>HYPERLINK("https://climate.onebuilding.org/WMO_Region_4_North_and_Central_America/USA_United_States_of_America/WA_Washington/USA_WA_Walla.Walla.Rgnl.AP.727846_TMY3.zip")</f>
        <v>https://climate.onebuilding.org/WMO_Region_4_North_and_Central_America/USA_United_States_of_America/WA_Washington/USA_WA_Walla.Walla.Rgnl.AP.727846_TMY3.zip</v>
      </c>
    </row>
    <row r="975" spans="1:10" x14ac:dyDescent="0.25">
      <c r="A975" t="s">
        <v>15</v>
      </c>
      <c r="B975" t="s">
        <v>1013</v>
      </c>
      <c r="C975" t="s">
        <v>1040</v>
      </c>
      <c r="D975">
        <v>727825</v>
      </c>
      <c r="E975" t="s">
        <v>13</v>
      </c>
      <c r="F975">
        <v>47.4</v>
      </c>
      <c r="G975">
        <v>-120.2</v>
      </c>
      <c r="H975">
        <v>-8</v>
      </c>
      <c r="I975">
        <v>379</v>
      </c>
      <c r="J975" t="str">
        <f>HYPERLINK("https://climate.onebuilding.org/WMO_Region_4_North_and_Central_America/USA_United_States_of_America/WA_Washington/USA_WA_Wenatchee-Pangborn.Meml.AP.727825_TMY3.zip")</f>
        <v>https://climate.onebuilding.org/WMO_Region_4_North_and_Central_America/USA_United_States_of_America/WA_Washington/USA_WA_Wenatchee-Pangborn.Meml.AP.727825_TMY3.zip</v>
      </c>
    </row>
    <row r="976" spans="1:10" x14ac:dyDescent="0.25">
      <c r="A976" t="s">
        <v>15</v>
      </c>
      <c r="B976" t="s">
        <v>1013</v>
      </c>
      <c r="C976" t="s">
        <v>1041</v>
      </c>
      <c r="D976">
        <v>720749</v>
      </c>
      <c r="E976" t="s">
        <v>13</v>
      </c>
      <c r="F976">
        <v>48.35</v>
      </c>
      <c r="G976">
        <v>-122.667</v>
      </c>
      <c r="H976">
        <v>-8</v>
      </c>
      <c r="I976">
        <v>10</v>
      </c>
      <c r="J976" t="str">
        <f>HYPERLINK("https://climate.onebuilding.org/WMO_Region_4_North_and_Central_America/USA_United_States_of_America/WA_Washington/USA_WA_Oak.Harbor-NAS.Whidbey.Island-Ault.Field.720749_TMY3.zip")</f>
        <v>https://climate.onebuilding.org/WMO_Region_4_North_and_Central_America/USA_United_States_of_America/WA_Washington/USA_WA_Oak.Harbor-NAS.Whidbey.Island-Ault.Field.720749_TMY3.zip</v>
      </c>
    </row>
    <row r="977" spans="1:10" x14ac:dyDescent="0.25">
      <c r="A977" t="s">
        <v>15</v>
      </c>
      <c r="B977" t="s">
        <v>1013</v>
      </c>
      <c r="C977" t="s">
        <v>1042</v>
      </c>
      <c r="D977">
        <v>727810</v>
      </c>
      <c r="E977" t="s">
        <v>13</v>
      </c>
      <c r="F977">
        <v>46.567</v>
      </c>
      <c r="G977">
        <v>-120.55</v>
      </c>
      <c r="H977">
        <v>-8</v>
      </c>
      <c r="I977">
        <v>324</v>
      </c>
      <c r="J977" t="str">
        <f>HYPERLINK("https://climate.onebuilding.org/WMO_Region_4_North_and_Central_America/USA_United_States_of_America/WA_Washington/USA_WA_Yakima.Air.Terminal-McAllister.Field.727810_TMY3.zip")</f>
        <v>https://climate.onebuilding.org/WMO_Region_4_North_and_Central_America/USA_United_States_of_America/WA_Washington/USA_WA_Yakima.Air.Terminal-McAllister.Field.727810_TMY3.zip</v>
      </c>
    </row>
    <row r="978" spans="1:10" x14ac:dyDescent="0.25">
      <c r="A978" t="s">
        <v>15</v>
      </c>
      <c r="B978" t="s">
        <v>1043</v>
      </c>
      <c r="C978" t="s">
        <v>1044</v>
      </c>
      <c r="D978">
        <v>726457</v>
      </c>
      <c r="E978" t="s">
        <v>13</v>
      </c>
      <c r="F978">
        <v>44.25</v>
      </c>
      <c r="G978">
        <v>-88.516999999999996</v>
      </c>
      <c r="H978">
        <v>-6</v>
      </c>
      <c r="I978">
        <v>280</v>
      </c>
      <c r="J978" t="str">
        <f>HYPERLINK("https://climate.onebuilding.org/WMO_Region_4_North_and_Central_America/USA_United_States_of_America/WI_Wisconsin/USA_WI_Appleton.Intl.AP.726457_TMY3.zip")</f>
        <v>https://climate.onebuilding.org/WMO_Region_4_North_and_Central_America/USA_United_States_of_America/WI_Wisconsin/USA_WI_Appleton.Intl.AP.726457_TMY3.zip</v>
      </c>
    </row>
    <row r="979" spans="1:10" x14ac:dyDescent="0.25">
      <c r="A979" t="s">
        <v>15</v>
      </c>
      <c r="B979" t="s">
        <v>1043</v>
      </c>
      <c r="C979" t="s">
        <v>1045</v>
      </c>
      <c r="D979">
        <v>726435</v>
      </c>
      <c r="E979" t="s">
        <v>13</v>
      </c>
      <c r="F979">
        <v>44.866999999999997</v>
      </c>
      <c r="G979">
        <v>-91.483000000000004</v>
      </c>
      <c r="H979">
        <v>-6</v>
      </c>
      <c r="I979">
        <v>271</v>
      </c>
      <c r="J979" t="str">
        <f>HYPERLINK("https://climate.onebuilding.org/WMO_Region_4_North_and_Central_America/USA_United_States_of_America/WI_Wisconsin/USA_WI_Eau.Claire-Chippewa.Valley.Rgnl.AP.726435_TMY3.zip")</f>
        <v>https://climate.onebuilding.org/WMO_Region_4_North_and_Central_America/USA_United_States_of_America/WI_Wisconsin/USA_WI_Eau.Claire-Chippewa.Valley.Rgnl.AP.726435_TMY3.zip</v>
      </c>
    </row>
    <row r="980" spans="1:10" x14ac:dyDescent="0.25">
      <c r="A980" t="s">
        <v>15</v>
      </c>
      <c r="B980" t="s">
        <v>1043</v>
      </c>
      <c r="C980" t="s">
        <v>1046</v>
      </c>
      <c r="D980">
        <v>726626</v>
      </c>
      <c r="E980" t="s">
        <v>13</v>
      </c>
      <c r="F980">
        <v>45.134999999999998</v>
      </c>
      <c r="G980">
        <v>-87.186000000000007</v>
      </c>
      <c r="H980">
        <v>-6</v>
      </c>
      <c r="I980">
        <v>464</v>
      </c>
      <c r="J980" t="str">
        <f>HYPERLINK("https://climate.onebuilding.org/WMO_Region_4_North_and_Central_America/USA_United_States_of_America/WI_Wisconsin/USA_WI_Ephraim-Gibraltar.AP.726626_TMY3.zip")</f>
        <v>https://climate.onebuilding.org/WMO_Region_4_North_and_Central_America/USA_United_States_of_America/WI_Wisconsin/USA_WI_Ephraim-Gibraltar.AP.726626_TMY3.zip</v>
      </c>
    </row>
    <row r="981" spans="1:10" x14ac:dyDescent="0.25">
      <c r="A981" t="s">
        <v>15</v>
      </c>
      <c r="B981" t="s">
        <v>1043</v>
      </c>
      <c r="C981" t="s">
        <v>1047</v>
      </c>
      <c r="D981">
        <v>726450</v>
      </c>
      <c r="E981" t="s">
        <v>13</v>
      </c>
      <c r="F981">
        <v>44.482999999999997</v>
      </c>
      <c r="G981">
        <v>-88.132999999999996</v>
      </c>
      <c r="H981">
        <v>-6</v>
      </c>
      <c r="I981">
        <v>209</v>
      </c>
      <c r="J981" t="str">
        <f>HYPERLINK("https://climate.onebuilding.org/WMO_Region_4_North_and_Central_America/USA_United_States_of_America/WI_Wisconsin/USA_WI_Green.Bay-Straubel.Intl.AP.726450_TMY3.zip")</f>
        <v>https://climate.onebuilding.org/WMO_Region_4_North_and_Central_America/USA_United_States_of_America/WI_Wisconsin/USA_WI_Green.Bay-Straubel.Intl.AP.726450_TMY3.zip</v>
      </c>
    </row>
    <row r="982" spans="1:10" x14ac:dyDescent="0.25">
      <c r="A982" t="s">
        <v>15</v>
      </c>
      <c r="B982" t="s">
        <v>1043</v>
      </c>
      <c r="C982" t="s">
        <v>1048</v>
      </c>
      <c r="D982">
        <v>726415</v>
      </c>
      <c r="E982" t="s">
        <v>13</v>
      </c>
      <c r="F982">
        <v>42.616999999999997</v>
      </c>
      <c r="G982">
        <v>-89.033000000000001</v>
      </c>
      <c r="H982">
        <v>-6</v>
      </c>
      <c r="I982">
        <v>246</v>
      </c>
      <c r="J982" t="str">
        <f>HYPERLINK("https://climate.onebuilding.org/WMO_Region_4_North_and_Central_America/USA_United_States_of_America/WI_Wisconsin/USA_WI_Janesville-Southern.Wisconsin.Rgnl.AP.726415_TMY3.zip")</f>
        <v>https://climate.onebuilding.org/WMO_Region_4_North_and_Central_America/USA_United_States_of_America/WI_Wisconsin/USA_WI_Janesville-Southern.Wisconsin.Rgnl.AP.726415_TMY3.zip</v>
      </c>
    </row>
    <row r="983" spans="1:10" x14ac:dyDescent="0.25">
      <c r="A983" t="s">
        <v>15</v>
      </c>
      <c r="B983" t="s">
        <v>1043</v>
      </c>
      <c r="C983" t="s">
        <v>1049</v>
      </c>
      <c r="D983">
        <v>726430</v>
      </c>
      <c r="E983" t="s">
        <v>13</v>
      </c>
      <c r="F983">
        <v>43.866999999999997</v>
      </c>
      <c r="G983">
        <v>-91.25</v>
      </c>
      <c r="H983">
        <v>-6</v>
      </c>
      <c r="I983">
        <v>198</v>
      </c>
      <c r="J983" t="str">
        <f>HYPERLINK("https://climate.onebuilding.org/WMO_Region_4_North_and_Central_America/USA_United_States_of_America/WI_Wisconsin/USA_WI_La.Crosse.Rgnl.AP.726430_TMY3.zip")</f>
        <v>https://climate.onebuilding.org/WMO_Region_4_North_and_Central_America/USA_United_States_of_America/WI_Wisconsin/USA_WI_La.Crosse.Rgnl.AP.726430_TMY3.zip</v>
      </c>
    </row>
    <row r="984" spans="1:10" x14ac:dyDescent="0.25">
      <c r="A984" t="s">
        <v>15</v>
      </c>
      <c r="B984" t="s">
        <v>1043</v>
      </c>
      <c r="C984" t="s">
        <v>1050</v>
      </c>
      <c r="D984">
        <v>726416</v>
      </c>
      <c r="E984" t="s">
        <v>13</v>
      </c>
      <c r="F984">
        <v>43.2</v>
      </c>
      <c r="G984">
        <v>-90.183000000000007</v>
      </c>
      <c r="H984">
        <v>-6</v>
      </c>
      <c r="I984">
        <v>219</v>
      </c>
      <c r="J984" t="str">
        <f>HYPERLINK("https://climate.onebuilding.org/WMO_Region_4_North_and_Central_America/USA_United_States_of_America/WI_Wisconsin/USA_WI_Lone.Rock-Tri-County.Rgnl.AP.726416_TMY3.zip")</f>
        <v>https://climate.onebuilding.org/WMO_Region_4_North_and_Central_America/USA_United_States_of_America/WI_Wisconsin/USA_WI_Lone.Rock-Tri-County.Rgnl.AP.726416_TMY3.zip</v>
      </c>
    </row>
    <row r="985" spans="1:10" x14ac:dyDescent="0.25">
      <c r="A985" t="s">
        <v>15</v>
      </c>
      <c r="B985" t="s">
        <v>1043</v>
      </c>
      <c r="C985" t="s">
        <v>1051</v>
      </c>
      <c r="D985">
        <v>726410</v>
      </c>
      <c r="E985" t="s">
        <v>13</v>
      </c>
      <c r="F985">
        <v>43.13</v>
      </c>
      <c r="G985">
        <v>-89.33</v>
      </c>
      <c r="H985">
        <v>-6</v>
      </c>
      <c r="I985">
        <v>262</v>
      </c>
      <c r="J985" t="str">
        <f>HYPERLINK("https://climate.onebuilding.org/WMO_Region_4_North_and_Central_America/USA_United_States_of_America/WI_Wisconsin/USA_WI_Madison-Dane.County.Rgnl.AP-Truax.Field.726410_TMY3.zip")</f>
        <v>https://climate.onebuilding.org/WMO_Region_4_North_and_Central_America/USA_United_States_of_America/WI_Wisconsin/USA_WI_Madison-Dane.County.Rgnl.AP-Truax.Field.726410_TMY3.zip</v>
      </c>
    </row>
    <row r="986" spans="1:10" x14ac:dyDescent="0.25">
      <c r="A986" t="s">
        <v>15</v>
      </c>
      <c r="B986" t="s">
        <v>1043</v>
      </c>
      <c r="C986" t="s">
        <v>1052</v>
      </c>
      <c r="D986">
        <v>726455</v>
      </c>
      <c r="E986" t="s">
        <v>13</v>
      </c>
      <c r="F986">
        <v>44.133000000000003</v>
      </c>
      <c r="G986">
        <v>-87.683000000000007</v>
      </c>
      <c r="H986">
        <v>-6</v>
      </c>
      <c r="I986">
        <v>198</v>
      </c>
      <c r="J986" t="str">
        <f>HYPERLINK("https://climate.onebuilding.org/WMO_Region_4_North_and_Central_America/USA_United_States_of_America/WI_Wisconsin/USA_WI_Manitowac.County.AP.726455_TMY3.zip")</f>
        <v>https://climate.onebuilding.org/WMO_Region_4_North_and_Central_America/USA_United_States_of_America/WI_Wisconsin/USA_WI_Manitowac.County.AP.726455_TMY3.zip</v>
      </c>
    </row>
    <row r="987" spans="1:10" x14ac:dyDescent="0.25">
      <c r="A987" t="s">
        <v>15</v>
      </c>
      <c r="B987" t="s">
        <v>1043</v>
      </c>
      <c r="C987" t="s">
        <v>1053</v>
      </c>
      <c r="D987">
        <v>726574</v>
      </c>
      <c r="E987" t="s">
        <v>13</v>
      </c>
      <c r="F987">
        <v>44.633000000000003</v>
      </c>
      <c r="G987">
        <v>-90.183000000000007</v>
      </c>
      <c r="H987">
        <v>-6</v>
      </c>
      <c r="I987">
        <v>389</v>
      </c>
      <c r="J987" t="str">
        <f>HYPERLINK("https://climate.onebuilding.org/WMO_Region_4_North_and_Central_America/USA_United_States_of_America/WI_Wisconsin/USA_WI_Marshfield.Muni.AP.726574_TMY3.zip")</f>
        <v>https://climate.onebuilding.org/WMO_Region_4_North_and_Central_America/USA_United_States_of_America/WI_Wisconsin/USA_WI_Marshfield.Muni.AP.726574_TMY3.zip</v>
      </c>
    </row>
    <row r="988" spans="1:10" x14ac:dyDescent="0.25">
      <c r="A988" t="s">
        <v>15</v>
      </c>
      <c r="B988" t="s">
        <v>1043</v>
      </c>
      <c r="C988" t="s">
        <v>1054</v>
      </c>
      <c r="D988">
        <v>726400</v>
      </c>
      <c r="E988" t="s">
        <v>13</v>
      </c>
      <c r="F988">
        <v>42.95</v>
      </c>
      <c r="G988">
        <v>-87.9</v>
      </c>
      <c r="H988">
        <v>-6</v>
      </c>
      <c r="I988">
        <v>205</v>
      </c>
      <c r="J988" t="str">
        <f>HYPERLINK("https://climate.onebuilding.org/WMO_Region_4_North_and_Central_America/USA_United_States_of_America/WI_Wisconsin/USA_WI_Milwaukee-Mitchell.Intl.AP.726400_TMY3.zip")</f>
        <v>https://climate.onebuilding.org/WMO_Region_4_North_and_Central_America/USA_United_States_of_America/WI_Wisconsin/USA_WI_Milwaukee-Mitchell.Intl.AP.726400_TMY3.zip</v>
      </c>
    </row>
    <row r="989" spans="1:10" x14ac:dyDescent="0.25">
      <c r="A989" t="s">
        <v>15</v>
      </c>
      <c r="B989" t="s">
        <v>1043</v>
      </c>
      <c r="C989" t="s">
        <v>1055</v>
      </c>
      <c r="D989">
        <v>726404</v>
      </c>
      <c r="E989" t="s">
        <v>13</v>
      </c>
      <c r="F989">
        <v>45.933</v>
      </c>
      <c r="G989">
        <v>-89.733000000000004</v>
      </c>
      <c r="H989">
        <v>-6</v>
      </c>
      <c r="I989">
        <v>496</v>
      </c>
      <c r="J989" t="str">
        <f>HYPERLINK("https://climate.onebuilding.org/WMO_Region_4_North_and_Central_America/USA_United_States_of_America/WI_Wisconsin/USA_WI_Minocqua-Woodruff-Lakeland.AP-Lee.Field.726404_TMY3.zip")</f>
        <v>https://climate.onebuilding.org/WMO_Region_4_North_and_Central_America/USA_United_States_of_America/WI_Wisconsin/USA_WI_Minocqua-Woodruff-Lakeland.AP-Lee.Field.726404_TMY3.zip</v>
      </c>
    </row>
    <row r="990" spans="1:10" x14ac:dyDescent="0.25">
      <c r="A990" t="s">
        <v>15</v>
      </c>
      <c r="B990" t="s">
        <v>1043</v>
      </c>
      <c r="C990" t="s">
        <v>1056</v>
      </c>
      <c r="D990">
        <v>726465</v>
      </c>
      <c r="E990" t="s">
        <v>13</v>
      </c>
      <c r="F990">
        <v>44.783000000000001</v>
      </c>
      <c r="G990">
        <v>-89.667000000000002</v>
      </c>
      <c r="H990">
        <v>-6</v>
      </c>
      <c r="I990">
        <v>389</v>
      </c>
      <c r="J990" t="str">
        <f>HYPERLINK("https://climate.onebuilding.org/WMO_Region_4_North_and_Central_America/USA_United_States_of_America/WI_Wisconsin/USA_WI_Mosinee-Central.Wisconsin.AP.726465_TMY3.zip")</f>
        <v>https://climate.onebuilding.org/WMO_Region_4_North_and_Central_America/USA_United_States_of_America/WI_Wisconsin/USA_WI_Mosinee-Central.Wisconsin.AP.726465_TMY3.zip</v>
      </c>
    </row>
    <row r="991" spans="1:10" x14ac:dyDescent="0.25">
      <c r="A991" t="s">
        <v>15</v>
      </c>
      <c r="B991" t="s">
        <v>1043</v>
      </c>
      <c r="C991" t="s">
        <v>1057</v>
      </c>
      <c r="D991">
        <v>726468</v>
      </c>
      <c r="E991" t="s">
        <v>13</v>
      </c>
      <c r="F991">
        <v>45.7</v>
      </c>
      <c r="G991">
        <v>-90.4</v>
      </c>
      <c r="H991">
        <v>-6</v>
      </c>
      <c r="I991">
        <v>449</v>
      </c>
      <c r="J991" t="str">
        <f>HYPERLINK("https://climate.onebuilding.org/WMO_Region_4_North_and_Central_America/USA_United_States_of_America/WI_Wisconsin/USA_WI_Phillips-Price.County.AP.726468_TMY3.zip")</f>
        <v>https://climate.onebuilding.org/WMO_Region_4_North_and_Central_America/USA_United_States_of_America/WI_Wisconsin/USA_WI_Phillips-Price.County.AP.726468_TMY3.zip</v>
      </c>
    </row>
    <row r="992" spans="1:10" x14ac:dyDescent="0.25">
      <c r="A992" t="s">
        <v>15</v>
      </c>
      <c r="B992" t="s">
        <v>1043</v>
      </c>
      <c r="C992" t="s">
        <v>1058</v>
      </c>
      <c r="D992">
        <v>727415</v>
      </c>
      <c r="E992" t="s">
        <v>13</v>
      </c>
      <c r="F992">
        <v>45.633000000000003</v>
      </c>
      <c r="G992">
        <v>-89.466999999999999</v>
      </c>
      <c r="H992">
        <v>-6</v>
      </c>
      <c r="I992">
        <v>507</v>
      </c>
      <c r="J992" t="str">
        <f>HYPERLINK("https://climate.onebuilding.org/WMO_Region_4_North_and_Central_America/USA_United_States_of_America/WI_Wisconsin/USA_WI_Rhinelander-Oneida.County.AP.727415_TMY3.zip")</f>
        <v>https://climate.onebuilding.org/WMO_Region_4_North_and_Central_America/USA_United_States_of_America/WI_Wisconsin/USA_WI_Rhinelander-Oneida.County.AP.727415_TMY3.zip</v>
      </c>
    </row>
    <row r="993" spans="1:10" x14ac:dyDescent="0.25">
      <c r="A993" t="s">
        <v>15</v>
      </c>
      <c r="B993" t="s">
        <v>1043</v>
      </c>
      <c r="C993" t="s">
        <v>1059</v>
      </c>
      <c r="D993">
        <v>726467</v>
      </c>
      <c r="E993" t="s">
        <v>13</v>
      </c>
      <c r="F993">
        <v>45.482999999999997</v>
      </c>
      <c r="G993">
        <v>-91.716999999999999</v>
      </c>
      <c r="H993">
        <v>-6</v>
      </c>
      <c r="I993">
        <v>347</v>
      </c>
      <c r="J993" t="str">
        <f>HYPERLINK("https://climate.onebuilding.org/WMO_Region_4_North_and_Central_America/USA_United_States_of_America/WI_Wisconsin/USA_WI_Rice.Lake.Rgnl.AP.726467_TMY3.zip")</f>
        <v>https://climate.onebuilding.org/WMO_Region_4_North_and_Central_America/USA_United_States_of_America/WI_Wisconsin/USA_WI_Rice.Lake.Rgnl.AP.726467_TMY3.zip</v>
      </c>
    </row>
    <row r="994" spans="1:10" x14ac:dyDescent="0.25">
      <c r="A994" t="s">
        <v>15</v>
      </c>
      <c r="B994" t="s">
        <v>1043</v>
      </c>
      <c r="C994" t="s">
        <v>1060</v>
      </c>
      <c r="D994">
        <v>726458</v>
      </c>
      <c r="E994" t="s">
        <v>13</v>
      </c>
      <c r="F994">
        <v>44.85</v>
      </c>
      <c r="G994">
        <v>-87.417000000000002</v>
      </c>
      <c r="H994">
        <v>-6</v>
      </c>
      <c r="I994">
        <v>221</v>
      </c>
      <c r="J994" t="str">
        <f>HYPERLINK("https://climate.onebuilding.org/WMO_Region_4_North_and_Central_America/USA_United_States_of_America/WI_Wisconsin/USA_WI_Sturgeon.Bay-Door.County.Cherryland.AP.726458_TMY3.zip")</f>
        <v>https://climate.onebuilding.org/WMO_Region_4_North_and_Central_America/USA_United_States_of_America/WI_Wisconsin/USA_WI_Sturgeon.Bay-Door.County.Cherryland.AP.726458_TMY3.zip</v>
      </c>
    </row>
    <row r="995" spans="1:10" x14ac:dyDescent="0.25">
      <c r="A995" t="s">
        <v>15</v>
      </c>
      <c r="B995" t="s">
        <v>1043</v>
      </c>
      <c r="C995" t="s">
        <v>889</v>
      </c>
      <c r="D995">
        <v>726464</v>
      </c>
      <c r="E995" t="s">
        <v>13</v>
      </c>
      <c r="F995">
        <v>43.167000000000002</v>
      </c>
      <c r="G995">
        <v>-88.716999999999999</v>
      </c>
      <c r="H995">
        <v>-6</v>
      </c>
      <c r="I995">
        <v>254</v>
      </c>
      <c r="J995" t="str">
        <f>HYPERLINK("https://climate.onebuilding.org/WMO_Region_4_North_and_Central_America/USA_United_States_of_America/WI_Wisconsin/USA_WI_Watertown.Rgnl.AP.726464_TMY3.zip")</f>
        <v>https://climate.onebuilding.org/WMO_Region_4_North_and_Central_America/USA_United_States_of_America/WI_Wisconsin/USA_WI_Watertown.Rgnl.AP.726464_TMY3.zip</v>
      </c>
    </row>
    <row r="996" spans="1:10" x14ac:dyDescent="0.25">
      <c r="A996" t="s">
        <v>15</v>
      </c>
      <c r="B996" t="s">
        <v>1043</v>
      </c>
      <c r="C996" t="s">
        <v>1061</v>
      </c>
      <c r="D996">
        <v>726463</v>
      </c>
      <c r="E996" t="s">
        <v>13</v>
      </c>
      <c r="F996">
        <v>44.927</v>
      </c>
      <c r="G996">
        <v>-89.629000000000005</v>
      </c>
      <c r="H996">
        <v>-6</v>
      </c>
      <c r="I996">
        <v>366</v>
      </c>
      <c r="J996" t="str">
        <f>HYPERLINK("https://climate.onebuilding.org/WMO_Region_4_North_and_Central_America/USA_United_States_of_America/WI_Wisconsin/USA_WI_Wausau.Downtown.AP.726463_TMY3.zip")</f>
        <v>https://climate.onebuilding.org/WMO_Region_4_North_and_Central_America/USA_United_States_of_America/WI_Wisconsin/USA_WI_Wausau.Downtown.AP.726463_TMY3.zip</v>
      </c>
    </row>
    <row r="997" spans="1:10" x14ac:dyDescent="0.25">
      <c r="A997" t="s">
        <v>15</v>
      </c>
      <c r="B997" t="s">
        <v>1043</v>
      </c>
      <c r="C997" t="s">
        <v>1062</v>
      </c>
      <c r="D997">
        <v>726456</v>
      </c>
      <c r="E997" t="s">
        <v>13</v>
      </c>
      <c r="F997">
        <v>43.982999999999997</v>
      </c>
      <c r="G997">
        <v>-88.55</v>
      </c>
      <c r="H997">
        <v>-6</v>
      </c>
      <c r="I997">
        <v>253</v>
      </c>
      <c r="J997" t="str">
        <f>HYPERLINK("https://climate.onebuilding.org/WMO_Region_4_North_and_Central_America/USA_United_States_of_America/WI_Wisconsin/USA_WI_Oshkosh-Wittman.Rgnl.AP.726456_TMY3.zip")</f>
        <v>https://climate.onebuilding.org/WMO_Region_4_North_and_Central_America/USA_United_States_of_America/WI_Wisconsin/USA_WI_Oshkosh-Wittman.Rgnl.AP.726456_TMY3.zip</v>
      </c>
    </row>
    <row r="998" spans="1:10" x14ac:dyDescent="0.25">
      <c r="A998" t="s">
        <v>15</v>
      </c>
      <c r="B998" t="s">
        <v>1063</v>
      </c>
      <c r="C998" t="s">
        <v>1064</v>
      </c>
      <c r="D998">
        <v>724120</v>
      </c>
      <c r="E998" t="s">
        <v>13</v>
      </c>
      <c r="F998">
        <v>37.799999999999997</v>
      </c>
      <c r="G998">
        <v>-81.117000000000004</v>
      </c>
      <c r="H998">
        <v>-5</v>
      </c>
      <c r="I998">
        <v>763</v>
      </c>
      <c r="J998" t="str">
        <f>HYPERLINK("https://climate.onebuilding.org/WMO_Region_4_North_and_Central_America/USA_United_States_of_America/WV_West_Virginia/USA_WV_Beckley-Raleigh.County.Meml.AP.724120_TMY3.zip")</f>
        <v>https://climate.onebuilding.org/WMO_Region_4_North_and_Central_America/USA_United_States_of_America/WV_West_Virginia/USA_WV_Beckley-Raleigh.County.Meml.AP.724120_TMY3.zip</v>
      </c>
    </row>
    <row r="999" spans="1:10" x14ac:dyDescent="0.25">
      <c r="A999" t="s">
        <v>15</v>
      </c>
      <c r="B999" t="s">
        <v>1063</v>
      </c>
      <c r="C999" t="s">
        <v>1065</v>
      </c>
      <c r="D999">
        <v>724125</v>
      </c>
      <c r="E999" t="s">
        <v>13</v>
      </c>
      <c r="F999">
        <v>37.295000000000002</v>
      </c>
      <c r="G999">
        <v>-81.207999999999998</v>
      </c>
      <c r="H999">
        <v>-5</v>
      </c>
      <c r="I999">
        <v>803</v>
      </c>
      <c r="J999" t="str">
        <f>HYPERLINK("https://climate.onebuilding.org/WMO_Region_4_North_and_Central_America/USA_United_States_of_America/WV_West_Virginia/USA_WV_Bluefield-Mercer.County.AP.724125_TMY3.zip")</f>
        <v>https://climate.onebuilding.org/WMO_Region_4_North_and_Central_America/USA_United_States_of_America/WV_West_Virginia/USA_WV_Bluefield-Mercer.County.AP.724125_TMY3.zip</v>
      </c>
    </row>
    <row r="1000" spans="1:10" x14ac:dyDescent="0.25">
      <c r="A1000" t="s">
        <v>15</v>
      </c>
      <c r="B1000" t="s">
        <v>1063</v>
      </c>
      <c r="C1000" t="s">
        <v>1066</v>
      </c>
      <c r="D1000">
        <v>724140</v>
      </c>
      <c r="E1000" t="s">
        <v>13</v>
      </c>
      <c r="F1000">
        <v>38.383000000000003</v>
      </c>
      <c r="G1000">
        <v>-81.582999999999998</v>
      </c>
      <c r="H1000">
        <v>-5</v>
      </c>
      <c r="I1000">
        <v>310</v>
      </c>
      <c r="J1000" t="str">
        <f>HYPERLINK("https://climate.onebuilding.org/WMO_Region_4_North_and_Central_America/USA_United_States_of_America/WV_West_Virginia/USA_WV_Charleston-Yeager.AP.724140_TMY3.zip")</f>
        <v>https://climate.onebuilding.org/WMO_Region_4_North_and_Central_America/USA_United_States_of_America/WV_West_Virginia/USA_WV_Charleston-Yeager.AP.724140_TMY3.zip</v>
      </c>
    </row>
    <row r="1001" spans="1:10" x14ac:dyDescent="0.25">
      <c r="A1001" t="s">
        <v>15</v>
      </c>
      <c r="B1001" t="s">
        <v>1063</v>
      </c>
      <c r="C1001" t="s">
        <v>1067</v>
      </c>
      <c r="D1001">
        <v>724175</v>
      </c>
      <c r="E1001" t="s">
        <v>13</v>
      </c>
      <c r="F1001">
        <v>39.283000000000001</v>
      </c>
      <c r="G1001">
        <v>-80.233000000000004</v>
      </c>
      <c r="H1001">
        <v>-5</v>
      </c>
      <c r="I1001">
        <v>380</v>
      </c>
      <c r="J1001" t="str">
        <f>HYPERLINK("https://climate.onebuilding.org/WMO_Region_4_North_and_Central_America/USA_United_States_of_America/WV_West_Virginia/USA_WV_Clarksburg-Fairmont-North.Central.West.Virginia.AP.724175_TMY3.zip")</f>
        <v>https://climate.onebuilding.org/WMO_Region_4_North_and_Central_America/USA_United_States_of_America/WV_West_Virginia/USA_WV_Clarksburg-Fairmont-North.Central.West.Virginia.AP.724175_TMY3.zip</v>
      </c>
    </row>
    <row r="1002" spans="1:10" x14ac:dyDescent="0.25">
      <c r="A1002" t="s">
        <v>15</v>
      </c>
      <c r="B1002" t="s">
        <v>1063</v>
      </c>
      <c r="C1002" t="s">
        <v>1068</v>
      </c>
      <c r="D1002">
        <v>724170</v>
      </c>
      <c r="E1002" t="s">
        <v>13</v>
      </c>
      <c r="F1002">
        <v>38.883000000000003</v>
      </c>
      <c r="G1002">
        <v>-79.849999999999994</v>
      </c>
      <c r="H1002">
        <v>-5</v>
      </c>
      <c r="I1002">
        <v>594</v>
      </c>
      <c r="J1002" t="str">
        <f>HYPERLINK("https://climate.onebuilding.org/WMO_Region_4_North_and_Central_America/USA_United_States_of_America/WV_West_Virginia/USA_WV_Elkins-Randolph.County.Rgnl.AP.724170_TMY3.zip")</f>
        <v>https://climate.onebuilding.org/WMO_Region_4_North_and_Central_America/USA_United_States_of_America/WV_West_Virginia/USA_WV_Elkins-Randolph.County.Rgnl.AP.724170_TMY3.zip</v>
      </c>
    </row>
    <row r="1003" spans="1:10" x14ac:dyDescent="0.25">
      <c r="A1003" t="s">
        <v>15</v>
      </c>
      <c r="B1003" t="s">
        <v>1063</v>
      </c>
      <c r="C1003" t="s">
        <v>1069</v>
      </c>
      <c r="D1003">
        <v>724250</v>
      </c>
      <c r="E1003" t="s">
        <v>13</v>
      </c>
      <c r="F1003">
        <v>38.383000000000003</v>
      </c>
      <c r="G1003">
        <v>-82.55</v>
      </c>
      <c r="H1003">
        <v>-5</v>
      </c>
      <c r="I1003">
        <v>253</v>
      </c>
      <c r="J1003" t="str">
        <f>HYPERLINK("https://climate.onebuilding.org/WMO_Region_4_North_and_Central_America/USA_United_States_of_America/WV_West_Virginia/USA_WV_Huntington-Tri-State.AP-Ferguson.Field.724250_TMY3.zip")</f>
        <v>https://climate.onebuilding.org/WMO_Region_4_North_and_Central_America/USA_United_States_of_America/WV_West_Virginia/USA_WV_Huntington-Tri-State.AP-Ferguson.Field.724250_TMY3.zip</v>
      </c>
    </row>
    <row r="1004" spans="1:10" x14ac:dyDescent="0.25">
      <c r="A1004" t="s">
        <v>15</v>
      </c>
      <c r="B1004" t="s">
        <v>1063</v>
      </c>
      <c r="C1004" t="s">
        <v>1070</v>
      </c>
      <c r="D1004">
        <v>724127</v>
      </c>
      <c r="E1004" t="s">
        <v>13</v>
      </c>
      <c r="F1004">
        <v>37.866999999999997</v>
      </c>
      <c r="G1004">
        <v>-80.400000000000006</v>
      </c>
      <c r="H1004">
        <v>-5</v>
      </c>
      <c r="I1004">
        <v>702</v>
      </c>
      <c r="J1004" t="str">
        <f>HYPERLINK("https://climate.onebuilding.org/WMO_Region_4_North_and_Central_America/USA_United_States_of_America/WV_West_Virginia/USA_WV_Lewisburg-Greenbrier.Valley.AP.724127_TMY3.zip")</f>
        <v>https://climate.onebuilding.org/WMO_Region_4_North_and_Central_America/USA_United_States_of_America/WV_West_Virginia/USA_WV_Lewisburg-Greenbrier.Valley.AP.724127_TMY3.zip</v>
      </c>
    </row>
    <row r="1005" spans="1:10" x14ac:dyDescent="0.25">
      <c r="A1005" t="s">
        <v>15</v>
      </c>
      <c r="B1005" t="s">
        <v>1063</v>
      </c>
      <c r="C1005" t="s">
        <v>1071</v>
      </c>
      <c r="D1005">
        <v>724177</v>
      </c>
      <c r="E1005" t="s">
        <v>13</v>
      </c>
      <c r="F1005">
        <v>39.4</v>
      </c>
      <c r="G1005">
        <v>-77.983000000000004</v>
      </c>
      <c r="H1005">
        <v>-5</v>
      </c>
      <c r="I1005">
        <v>162</v>
      </c>
      <c r="J1005" t="str">
        <f>HYPERLINK("https://climate.onebuilding.org/WMO_Region_4_North_and_Central_America/USA_United_States_of_America/WV_West_Virginia/USA_WV_Martinsburg-Eastern.West.Virginia.Rgnl.AP-Shepherd.Field.724177_TMY3.zip")</f>
        <v>https://climate.onebuilding.org/WMO_Region_4_North_and_Central_America/USA_United_States_of_America/WV_West_Virginia/USA_WV_Martinsburg-Eastern.West.Virginia.Rgnl.AP-Shepherd.Field.724177_TMY3.zip</v>
      </c>
    </row>
    <row r="1006" spans="1:10" x14ac:dyDescent="0.25">
      <c r="A1006" t="s">
        <v>15</v>
      </c>
      <c r="B1006" t="s">
        <v>1063</v>
      </c>
      <c r="C1006" t="s">
        <v>1072</v>
      </c>
      <c r="D1006">
        <v>724176</v>
      </c>
      <c r="E1006" t="s">
        <v>13</v>
      </c>
      <c r="F1006">
        <v>39.65</v>
      </c>
      <c r="G1006">
        <v>-79.917000000000002</v>
      </c>
      <c r="H1006">
        <v>-5</v>
      </c>
      <c r="I1006">
        <v>378</v>
      </c>
      <c r="J1006" t="str">
        <f>HYPERLINK("https://climate.onebuilding.org/WMO_Region_4_North_and_Central_America/USA_United_States_of_America/WV_West_Virginia/USA_WV_Morgantown.Muni.AP-Hart.Field.724176_TMY3.zip")</f>
        <v>https://climate.onebuilding.org/WMO_Region_4_North_and_Central_America/USA_United_States_of_America/WV_West_Virginia/USA_WV_Morgantown.Muni.AP-Hart.Field.724176_TMY3.zip</v>
      </c>
    </row>
    <row r="1007" spans="1:10" x14ac:dyDescent="0.25">
      <c r="A1007" t="s">
        <v>15</v>
      </c>
      <c r="B1007" t="s">
        <v>1063</v>
      </c>
      <c r="C1007" t="s">
        <v>1073</v>
      </c>
      <c r="D1007">
        <v>724273</v>
      </c>
      <c r="E1007" t="s">
        <v>13</v>
      </c>
      <c r="F1007">
        <v>39.35</v>
      </c>
      <c r="G1007">
        <v>-81.433000000000007</v>
      </c>
      <c r="H1007">
        <v>-5</v>
      </c>
      <c r="I1007">
        <v>253</v>
      </c>
      <c r="J1007" t="str">
        <f>HYPERLINK("https://climate.onebuilding.org/WMO_Region_4_North_and_Central_America/USA_United_States_of_America/WV_West_Virginia/USA_WV_Parkersburg-Mid-Ohio.Valley.Rgnl.AP-Wilson.Field.724273_TMY3.zip")</f>
        <v>https://climate.onebuilding.org/WMO_Region_4_North_and_Central_America/USA_United_States_of_America/WV_West_Virginia/USA_WV_Parkersburg-Mid-Ohio.Valley.Rgnl.AP-Wilson.Field.724273_TMY3.zip</v>
      </c>
    </row>
    <row r="1008" spans="1:10" x14ac:dyDescent="0.25">
      <c r="A1008" t="s">
        <v>15</v>
      </c>
      <c r="B1008" t="s">
        <v>1063</v>
      </c>
      <c r="C1008" t="s">
        <v>1074</v>
      </c>
      <c r="D1008">
        <v>724275</v>
      </c>
      <c r="E1008" t="s">
        <v>13</v>
      </c>
      <c r="F1008">
        <v>40.183</v>
      </c>
      <c r="G1008">
        <v>-80.650000000000006</v>
      </c>
      <c r="H1008">
        <v>-5</v>
      </c>
      <c r="I1008">
        <v>359</v>
      </c>
      <c r="J1008" t="str">
        <f>HYPERLINK("https://climate.onebuilding.org/WMO_Region_4_North_and_Central_America/USA_United_States_of_America/WV_West_Virginia/USA_WV_Wheeling.Ohio.County.AP.724275_TMY3.zip")</f>
        <v>https://climate.onebuilding.org/WMO_Region_4_North_and_Central_America/USA_United_States_of_America/WV_West_Virginia/USA_WV_Wheeling.Ohio.County.AP.724275_TMY3.zip</v>
      </c>
    </row>
    <row r="1009" spans="1:10" x14ac:dyDescent="0.25">
      <c r="A1009" t="s">
        <v>15</v>
      </c>
      <c r="B1009" t="s">
        <v>1075</v>
      </c>
      <c r="C1009" t="s">
        <v>1076</v>
      </c>
      <c r="D1009">
        <v>725690</v>
      </c>
      <c r="E1009" t="s">
        <v>13</v>
      </c>
      <c r="F1009">
        <v>42.9</v>
      </c>
      <c r="G1009">
        <v>-106.467</v>
      </c>
      <c r="H1009">
        <v>-7</v>
      </c>
      <c r="I1009">
        <v>1627</v>
      </c>
      <c r="J1009" t="str">
        <f>HYPERLINK("https://climate.onebuilding.org/WMO_Region_4_North_and_Central_America/USA_United_States_of_America/WY_Wyoming/USA_WY_Casper-Natrona.County.Intl.AP.725690_TMY3.zip")</f>
        <v>https://climate.onebuilding.org/WMO_Region_4_North_and_Central_America/USA_United_States_of_America/WY_Wyoming/USA_WY_Casper-Natrona.County.Intl.AP.725690_TMY3.zip</v>
      </c>
    </row>
    <row r="1010" spans="1:10" x14ac:dyDescent="0.25">
      <c r="A1010" t="s">
        <v>15</v>
      </c>
      <c r="B1010" t="s">
        <v>1075</v>
      </c>
      <c r="C1010" t="s">
        <v>1077</v>
      </c>
      <c r="D1010">
        <v>725640</v>
      </c>
      <c r="E1010" t="s">
        <v>13</v>
      </c>
      <c r="F1010">
        <v>41.15</v>
      </c>
      <c r="G1010">
        <v>-104.8</v>
      </c>
      <c r="H1010">
        <v>-7</v>
      </c>
      <c r="I1010">
        <v>1867</v>
      </c>
      <c r="J1010" t="str">
        <f>HYPERLINK("https://climate.onebuilding.org/WMO_Region_4_North_and_Central_America/USA_United_States_of_America/WY_Wyoming/USA_WY_Cheyenne.Rgnl.AP.725640_TMY3.zip")</f>
        <v>https://climate.onebuilding.org/WMO_Region_4_North_and_Central_America/USA_United_States_of_America/WY_Wyoming/USA_WY_Cheyenne.Rgnl.AP.725640_TMY3.zip</v>
      </c>
    </row>
    <row r="1011" spans="1:10" x14ac:dyDescent="0.25">
      <c r="A1011" t="s">
        <v>15</v>
      </c>
      <c r="B1011" t="s">
        <v>1075</v>
      </c>
      <c r="C1011" t="s">
        <v>1078</v>
      </c>
      <c r="D1011">
        <v>726700</v>
      </c>
      <c r="E1011" t="s">
        <v>13</v>
      </c>
      <c r="F1011">
        <v>44.517000000000003</v>
      </c>
      <c r="G1011">
        <v>-109.017</v>
      </c>
      <c r="H1011">
        <v>-7</v>
      </c>
      <c r="I1011">
        <v>1553</v>
      </c>
      <c r="J1011" t="str">
        <f>HYPERLINK("https://climate.onebuilding.org/WMO_Region_4_North_and_Central_America/USA_United_States_of_America/WY_Wyoming/USA_WY_Cody-Yellowstone.Rgnl.AP.726700_TMY3.zip")</f>
        <v>https://climate.onebuilding.org/WMO_Region_4_North_and_Central_America/USA_United_States_of_America/WY_Wyoming/USA_WY_Cody-Yellowstone.Rgnl.AP.726700_TMY3.zip</v>
      </c>
    </row>
    <row r="1012" spans="1:10" x14ac:dyDescent="0.25">
      <c r="A1012" t="s">
        <v>15</v>
      </c>
      <c r="B1012" t="s">
        <v>1075</v>
      </c>
      <c r="C1012" t="s">
        <v>1079</v>
      </c>
      <c r="D1012">
        <v>725775</v>
      </c>
      <c r="E1012" t="s">
        <v>13</v>
      </c>
      <c r="F1012">
        <v>41.283000000000001</v>
      </c>
      <c r="G1012">
        <v>-111.033</v>
      </c>
      <c r="H1012">
        <v>-7</v>
      </c>
      <c r="I1012">
        <v>2183</v>
      </c>
      <c r="J1012" t="str">
        <f>HYPERLINK("https://climate.onebuilding.org/WMO_Region_4_North_and_Central_America/USA_United_States_of_America/WY_Wyoming/USA_WY_Evanston-Uinta.County.AP-Burns.Field.725775_TMY3.zip")</f>
        <v>https://climate.onebuilding.org/WMO_Region_4_North_and_Central_America/USA_United_States_of_America/WY_Wyoming/USA_WY_Evanston-Uinta.County.AP-Burns.Field.725775_TMY3.zip</v>
      </c>
    </row>
    <row r="1013" spans="1:10" x14ac:dyDescent="0.25">
      <c r="A1013" t="s">
        <v>15</v>
      </c>
      <c r="B1013" t="s">
        <v>1075</v>
      </c>
      <c r="C1013" t="s">
        <v>1080</v>
      </c>
      <c r="D1013">
        <v>726650</v>
      </c>
      <c r="E1013" t="s">
        <v>13</v>
      </c>
      <c r="F1013">
        <v>44.35</v>
      </c>
      <c r="G1013">
        <v>-105.533</v>
      </c>
      <c r="H1013">
        <v>-7</v>
      </c>
      <c r="I1013">
        <v>1230</v>
      </c>
      <c r="J1013" t="str">
        <f>HYPERLINK("https://climate.onebuilding.org/WMO_Region_4_North_and_Central_America/USA_United_States_of_America/WY_Wyoming/USA_WY_Gillette-Campbell.County.AP.726650_TMY3.zip")</f>
        <v>https://climate.onebuilding.org/WMO_Region_4_North_and_Central_America/USA_United_States_of_America/WY_Wyoming/USA_WY_Gillette-Campbell.County.AP.726650_TMY3.zip</v>
      </c>
    </row>
    <row r="1014" spans="1:10" x14ac:dyDescent="0.25">
      <c r="A1014" t="s">
        <v>15</v>
      </c>
      <c r="B1014" t="s">
        <v>1075</v>
      </c>
      <c r="C1014" t="s">
        <v>1081</v>
      </c>
      <c r="D1014">
        <v>725744</v>
      </c>
      <c r="E1014" t="s">
        <v>13</v>
      </c>
      <c r="F1014">
        <v>41.594999999999999</v>
      </c>
      <c r="G1014">
        <v>-109.06399999999999</v>
      </c>
      <c r="H1014">
        <v>-7</v>
      </c>
      <c r="I1014">
        <v>2056</v>
      </c>
      <c r="J1014" t="str">
        <f>HYPERLINK("https://climate.onebuilding.org/WMO_Region_4_North_and_Central_America/USA_United_States_of_America/WY_Wyoming/USA_WY_Rock.Springs-Sweetwater.County.AP.725744_TMY3.zip")</f>
        <v>https://climate.onebuilding.org/WMO_Region_4_North_and_Central_America/USA_United_States_of_America/WY_Wyoming/USA_WY_Rock.Springs-Sweetwater.County.AP.725744_TMY3.zip</v>
      </c>
    </row>
    <row r="1015" spans="1:10" x14ac:dyDescent="0.25">
      <c r="A1015" t="s">
        <v>15</v>
      </c>
      <c r="B1015" t="s">
        <v>1075</v>
      </c>
      <c r="C1015" t="s">
        <v>1082</v>
      </c>
      <c r="D1015">
        <v>725776</v>
      </c>
      <c r="E1015" t="s">
        <v>13</v>
      </c>
      <c r="F1015">
        <v>43.6</v>
      </c>
      <c r="G1015">
        <v>-110.733</v>
      </c>
      <c r="H1015">
        <v>-7</v>
      </c>
      <c r="I1015">
        <v>2016</v>
      </c>
      <c r="J1015" t="str">
        <f>HYPERLINK("https://climate.onebuilding.org/WMO_Region_4_North_and_Central_America/USA_United_States_of_America/WY_Wyoming/USA_WY_Jackson.Hole.AP.725776_TMY3.zip")</f>
        <v>https://climate.onebuilding.org/WMO_Region_4_North_and_Central_America/USA_United_States_of_America/WY_Wyoming/USA_WY_Jackson.Hole.AP.725776_TMY3.zip</v>
      </c>
    </row>
    <row r="1016" spans="1:10" x14ac:dyDescent="0.25">
      <c r="A1016" t="s">
        <v>15</v>
      </c>
      <c r="B1016" t="s">
        <v>1075</v>
      </c>
      <c r="C1016" t="s">
        <v>1083</v>
      </c>
      <c r="D1016">
        <v>725760</v>
      </c>
      <c r="E1016" t="s">
        <v>13</v>
      </c>
      <c r="F1016">
        <v>42.817</v>
      </c>
      <c r="G1016">
        <v>-108.733</v>
      </c>
      <c r="H1016">
        <v>-7</v>
      </c>
      <c r="I1016">
        <v>1694</v>
      </c>
      <c r="J1016" t="str">
        <f>HYPERLINK("https://climate.onebuilding.org/WMO_Region_4_North_and_Central_America/USA_United_States_of_America/WY_Wyoming/USA_WY_Lander-Hunt.Field.725760_TMY3.zip")</f>
        <v>https://climate.onebuilding.org/WMO_Region_4_North_and_Central_America/USA_United_States_of_America/WY_Wyoming/USA_WY_Lander-Hunt.Field.725760_TMY3.zip</v>
      </c>
    </row>
    <row r="1017" spans="1:10" x14ac:dyDescent="0.25">
      <c r="A1017" t="s">
        <v>15</v>
      </c>
      <c r="B1017" t="s">
        <v>1075</v>
      </c>
      <c r="C1017" t="s">
        <v>1084</v>
      </c>
      <c r="D1017">
        <v>725645</v>
      </c>
      <c r="E1017" t="s">
        <v>13</v>
      </c>
      <c r="F1017">
        <v>41.317</v>
      </c>
      <c r="G1017">
        <v>-105.68300000000001</v>
      </c>
      <c r="H1017">
        <v>-7</v>
      </c>
      <c r="I1017">
        <v>2215</v>
      </c>
      <c r="J1017" t="str">
        <f>HYPERLINK("https://climate.onebuilding.org/WMO_Region_4_North_and_Central_America/USA_United_States_of_America/WY_Wyoming/USA_WY_Laramie.Rgnl.AP.725645_TMY3.zip")</f>
        <v>https://climate.onebuilding.org/WMO_Region_4_North_and_Central_America/USA_United_States_of_America/WY_Wyoming/USA_WY_Laramie.Rgnl.AP.725645_TMY3.zip</v>
      </c>
    </row>
    <row r="1018" spans="1:10" x14ac:dyDescent="0.25">
      <c r="A1018" t="s">
        <v>15</v>
      </c>
      <c r="B1018" t="s">
        <v>1075</v>
      </c>
      <c r="C1018" t="s">
        <v>1085</v>
      </c>
      <c r="D1018">
        <v>726690</v>
      </c>
      <c r="E1018" t="s">
        <v>13</v>
      </c>
      <c r="F1018">
        <v>41.8</v>
      </c>
      <c r="G1018">
        <v>-107.2</v>
      </c>
      <c r="H1018">
        <v>-7</v>
      </c>
      <c r="I1018">
        <v>2053</v>
      </c>
      <c r="J1018" t="str">
        <f>HYPERLINK("https://climate.onebuilding.org/WMO_Region_4_North_and_Central_America/USA_United_States_of_America/WY_Wyoming/USA_WY_Rawlins.Muni.AP-Harvey.Field.726690_TMY3.zip")</f>
        <v>https://climate.onebuilding.org/WMO_Region_4_North_and_Central_America/USA_United_States_of_America/WY_Wyoming/USA_WY_Rawlins.Muni.AP-Harvey.Field.726690_TMY3.zip</v>
      </c>
    </row>
    <row r="1019" spans="1:10" x14ac:dyDescent="0.25">
      <c r="A1019" t="s">
        <v>15</v>
      </c>
      <c r="B1019" t="s">
        <v>1075</v>
      </c>
      <c r="C1019" t="s">
        <v>1086</v>
      </c>
      <c r="D1019">
        <v>725765</v>
      </c>
      <c r="E1019" t="s">
        <v>13</v>
      </c>
      <c r="F1019">
        <v>43.05</v>
      </c>
      <c r="G1019">
        <v>-108.45</v>
      </c>
      <c r="H1019">
        <v>-7</v>
      </c>
      <c r="I1019">
        <v>1663</v>
      </c>
      <c r="J1019" t="str">
        <f>HYPERLINK("https://climate.onebuilding.org/WMO_Region_4_North_and_Central_America/USA_United_States_of_America/WY_Wyoming/USA_WY_Riverton.Rgnl.AP.725765_TMY3.zip")</f>
        <v>https://climate.onebuilding.org/WMO_Region_4_North_and_Central_America/USA_United_States_of_America/WY_Wyoming/USA_WY_Riverton.Rgnl.AP.725765_TMY3.zip</v>
      </c>
    </row>
    <row r="1020" spans="1:10" x14ac:dyDescent="0.25">
      <c r="A1020" t="s">
        <v>15</v>
      </c>
      <c r="B1020" t="s">
        <v>1075</v>
      </c>
      <c r="C1020" t="s">
        <v>1087</v>
      </c>
      <c r="D1020">
        <v>726660</v>
      </c>
      <c r="E1020" t="s">
        <v>13</v>
      </c>
      <c r="F1020">
        <v>44.767000000000003</v>
      </c>
      <c r="G1020">
        <v>-106.967</v>
      </c>
      <c r="H1020">
        <v>-7</v>
      </c>
      <c r="I1020">
        <v>1208</v>
      </c>
      <c r="J1020" t="str">
        <f>HYPERLINK("https://climate.onebuilding.org/WMO_Region_4_North_and_Central_America/USA_United_States_of_America/WY_Wyoming/USA_WY_Sheridan.County.AP.726660_TMY3.zip")</f>
        <v>https://climate.onebuilding.org/WMO_Region_4_North_and_Central_America/USA_United_States_of_America/WY_Wyoming/USA_WY_Sheridan.County.AP.726660_TMY3.zip</v>
      </c>
    </row>
    <row r="1021" spans="1:10" x14ac:dyDescent="0.25">
      <c r="A1021" t="s">
        <v>15</v>
      </c>
      <c r="B1021" t="s">
        <v>1075</v>
      </c>
      <c r="C1021" t="s">
        <v>1088</v>
      </c>
      <c r="D1021">
        <v>726665</v>
      </c>
      <c r="E1021" t="s">
        <v>13</v>
      </c>
      <c r="F1021">
        <v>43.966999999999999</v>
      </c>
      <c r="G1021">
        <v>-107.95</v>
      </c>
      <c r="H1021">
        <v>-7</v>
      </c>
      <c r="I1021">
        <v>1294</v>
      </c>
      <c r="J1021" t="str">
        <f>HYPERLINK("https://climate.onebuilding.org/WMO_Region_4_North_and_Central_America/USA_United_States_of_America/WY_Wyoming/USA_WY_Worland.Muni.AP.726665_TMY3.zip")</f>
        <v>https://climate.onebuilding.org/WMO_Region_4_North_and_Central_America/USA_United_States_of_America/WY_Wyoming/USA_WY_Worland.Muni.AP.726665_TMY3.zip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TMY3a_EPW_Processing_locations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Linda Lawrie</cp:lastModifiedBy>
  <dcterms:created xsi:type="dcterms:W3CDTF">2024-08-22T14:30:07Z</dcterms:created>
  <dcterms:modified xsi:type="dcterms:W3CDTF">2024-08-22T14:30:40Z</dcterms:modified>
</cp:coreProperties>
</file>