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9_{A0BEC366-4C37-447E-BBDD-DBB511CB5C33}" xr6:coauthVersionLast="47" xr6:coauthVersionMax="47" xr10:uidLastSave="{00000000-0000-0000-0000-000000000000}"/>
  <bookViews>
    <workbookView xWindow="4395" yWindow="1350" windowWidth="20160" windowHeight="13170" xr2:uid="{26A291FC-775A-4118-885E-D6BA51DDC53B}"/>
  </bookViews>
  <sheets>
    <sheet name="Reg4_Canada_TMYx_EPW_Processing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</calcChain>
</file>

<file path=xl/sharedStrings.xml><?xml version="1.0" encoding="utf-8"?>
<sst xmlns="http://schemas.openxmlformats.org/spreadsheetml/2006/main" count="13766" uniqueCount="1736">
  <si>
    <t>Country</t>
  </si>
  <si>
    <t>State</t>
  </si>
  <si>
    <t>City/Station</t>
  </si>
  <si>
    <t>WMO</t>
  </si>
  <si>
    <t>Source Data</t>
  </si>
  <si>
    <t>URL</t>
  </si>
  <si>
    <t>CAN</t>
  </si>
  <si>
    <t>YT</t>
  </si>
  <si>
    <t>Burwash.AP</t>
  </si>
  <si>
    <t>Custom-710010</t>
  </si>
  <si>
    <t>SRC-TMYx</t>
  </si>
  <si>
    <t>NL</t>
  </si>
  <si>
    <t>Churchill.Falls.AP</t>
  </si>
  <si>
    <t>Custom-710020</t>
  </si>
  <si>
    <t>QC</t>
  </si>
  <si>
    <t>La.Grande.4.AP</t>
  </si>
  <si>
    <t>Custom-710030</t>
  </si>
  <si>
    <t>AB</t>
  </si>
  <si>
    <t>Albert.Hall.AgCM</t>
  </si>
  <si>
    <t>Custom-710050</t>
  </si>
  <si>
    <t>Alliance.AgCM</t>
  </si>
  <si>
    <t>Custom-710060</t>
  </si>
  <si>
    <t>Barons.AgCM</t>
  </si>
  <si>
    <t>Custom-710070</t>
  </si>
  <si>
    <t>Bassano.AgCM</t>
  </si>
  <si>
    <t>Custom-710080</t>
  </si>
  <si>
    <t>Beiseker.AgCM</t>
  </si>
  <si>
    <t>Custom-710090</t>
  </si>
  <si>
    <t>Bellshill.AgCM</t>
  </si>
  <si>
    <t>Custom-710100</t>
  </si>
  <si>
    <t>Big.Valley.AgCM</t>
  </si>
  <si>
    <t>Custom-710110</t>
  </si>
  <si>
    <t>Cadogan.AgCM</t>
  </si>
  <si>
    <t>Custom-710120</t>
  </si>
  <si>
    <t>Craigmyle.AgCM</t>
  </si>
  <si>
    <t>Custom-710130</t>
  </si>
  <si>
    <t>Delburne.AgCM</t>
  </si>
  <si>
    <t>Custom-710140</t>
  </si>
  <si>
    <t>Milk.River.Ridge.Reservoir</t>
  </si>
  <si>
    <t>Custom-710150</t>
  </si>
  <si>
    <t>Bullhorn.Headwaters</t>
  </si>
  <si>
    <t>Custom-710160</t>
  </si>
  <si>
    <t>NU</t>
  </si>
  <si>
    <t>Stefansson.Island</t>
  </si>
  <si>
    <t>Custom-710170</t>
  </si>
  <si>
    <t>NB</t>
  </si>
  <si>
    <t>St.Leonard.AP</t>
  </si>
  <si>
    <t>Custom-710190</t>
  </si>
  <si>
    <t>NT</t>
  </si>
  <si>
    <t>Yohin</t>
  </si>
  <si>
    <t>Custom-710200</t>
  </si>
  <si>
    <t>Wekweeti.AP</t>
  </si>
  <si>
    <t>Custom-710205</t>
  </si>
  <si>
    <t>Deadmen.Valley</t>
  </si>
  <si>
    <t>Custom-710210</t>
  </si>
  <si>
    <t>BC</t>
  </si>
  <si>
    <t>Prince.Rupert.AP-Digby.Island</t>
  </si>
  <si>
    <t>Custom-710220</t>
  </si>
  <si>
    <t>SK</t>
  </si>
  <si>
    <t>Jimmy.Lake.AWOS</t>
  </si>
  <si>
    <t>Custom-710230</t>
  </si>
  <si>
    <t>Fort.Vermilion</t>
  </si>
  <si>
    <t>Custom-710240</t>
  </si>
  <si>
    <t>Medicine.Hat.Rgnl.AP.RCS</t>
  </si>
  <si>
    <t>Custom-710260</t>
  </si>
  <si>
    <t>PE</t>
  </si>
  <si>
    <t>Maple.Plains</t>
  </si>
  <si>
    <t>Custom-710267</t>
  </si>
  <si>
    <t>NS</t>
  </si>
  <si>
    <t>Ingonish.Beach</t>
  </si>
  <si>
    <t>Custom-710270</t>
  </si>
  <si>
    <t>Tatlayoko.Lake.RCS</t>
  </si>
  <si>
    <t>Custom-710280</t>
  </si>
  <si>
    <t>Holman.CS</t>
  </si>
  <si>
    <t>Custom-710290</t>
  </si>
  <si>
    <t>Grand.Manan.AP</t>
  </si>
  <si>
    <t>Custom-710300</t>
  </si>
  <si>
    <t>Discovery.Island</t>
  </si>
  <si>
    <t>Custom-710310</t>
  </si>
  <si>
    <t>Princeton.Rgnl.AP</t>
  </si>
  <si>
    <t>Custom-710320</t>
  </si>
  <si>
    <t>Key.Lake.AP</t>
  </si>
  <si>
    <t>Custom-710330</t>
  </si>
  <si>
    <t>Chetwynd.AP</t>
  </si>
  <si>
    <t>Custom-710348</t>
  </si>
  <si>
    <t>Makkovik.AP</t>
  </si>
  <si>
    <t>Custom-710349</t>
  </si>
  <si>
    <t>Linden.AgCM</t>
  </si>
  <si>
    <t>Custom-710350</t>
  </si>
  <si>
    <t>Mont.Tremblant.Intl.AP</t>
  </si>
  <si>
    <t>Golden.AP</t>
  </si>
  <si>
    <t>Ekati.AP</t>
  </si>
  <si>
    <t>Lac.Memphremagog</t>
  </si>
  <si>
    <t>Custom-710359</t>
  </si>
  <si>
    <t>MB</t>
  </si>
  <si>
    <t>Dauphin-Barker.AP</t>
  </si>
  <si>
    <t>Granby</t>
  </si>
  <si>
    <t>Custom-710367</t>
  </si>
  <si>
    <t>Point.Atkinson</t>
  </si>
  <si>
    <t>Custom-710370</t>
  </si>
  <si>
    <t>Victoria.Hartland.CS</t>
  </si>
  <si>
    <t>Custom-710380</t>
  </si>
  <si>
    <t>Carmacks.CS</t>
  </si>
  <si>
    <t>Custom-710390</t>
  </si>
  <si>
    <t>Laterriere</t>
  </si>
  <si>
    <t>Custom-710400</t>
  </si>
  <si>
    <t>Port.Hawkesbury.AP</t>
  </si>
  <si>
    <t>Custom-710410</t>
  </si>
  <si>
    <t>Lunenburg</t>
  </si>
  <si>
    <t>Custom-710415</t>
  </si>
  <si>
    <t>Delta-Burns.Bog</t>
  </si>
  <si>
    <t>Custom-710420</t>
  </si>
  <si>
    <t>Norman.Wells.AP</t>
  </si>
  <si>
    <t>Custom-710430</t>
  </si>
  <si>
    <t>Old.Crow.AP.RCS</t>
  </si>
  <si>
    <t>Custom-710440</t>
  </si>
  <si>
    <t>Teslin.AP</t>
  </si>
  <si>
    <t>Custom-710450</t>
  </si>
  <si>
    <t>Komakuk.Beach.AP</t>
  </si>
  <si>
    <t>Custom-710460</t>
  </si>
  <si>
    <t>Mannwille.AgCM</t>
  </si>
  <si>
    <t>Custom-710470</t>
  </si>
  <si>
    <t>Acadia.Valley</t>
  </si>
  <si>
    <t>Custom-710480</t>
  </si>
  <si>
    <t>Wager.Bay</t>
  </si>
  <si>
    <t>Custom-710490</t>
  </si>
  <si>
    <t>Puntzi.Mountain.AP</t>
  </si>
  <si>
    <t>Custom-710500</t>
  </si>
  <si>
    <t>Manyberries.AgCM</t>
  </si>
  <si>
    <t>Custom-710510</t>
  </si>
  <si>
    <t>ON</t>
  </si>
  <si>
    <t>Marathon.AP</t>
  </si>
  <si>
    <t>Custom-710514</t>
  </si>
  <si>
    <t>Storm.Hills</t>
  </si>
  <si>
    <t>Custom-710520</t>
  </si>
  <si>
    <t>Clinton.Point.AP</t>
  </si>
  <si>
    <t>Colville.Lake.AP</t>
  </si>
  <si>
    <t>Custom-710550</t>
  </si>
  <si>
    <t>Fort.Chipewyan.AP.RCS</t>
  </si>
  <si>
    <t>Custom-710560</t>
  </si>
  <si>
    <t>Clut.Lake</t>
  </si>
  <si>
    <t>Mossleigh.AgCM</t>
  </si>
  <si>
    <t>Custom-710570</t>
  </si>
  <si>
    <t>Keats.Point</t>
  </si>
  <si>
    <t>Custom-710580</t>
  </si>
  <si>
    <t>Croker.River</t>
  </si>
  <si>
    <t>Custom-710590</t>
  </si>
  <si>
    <t>Nordegg</t>
  </si>
  <si>
    <t>Custom-710600</t>
  </si>
  <si>
    <t>Barrhead.AP</t>
  </si>
  <si>
    <t>Custom-710610</t>
  </si>
  <si>
    <t>Violet.Grove</t>
  </si>
  <si>
    <t>Custom-710620</t>
  </si>
  <si>
    <t>Ottawa.CDA.RCS</t>
  </si>
  <si>
    <t>Fort.Resolution.AP</t>
  </si>
  <si>
    <t>Cape.Peel.West</t>
  </si>
  <si>
    <t>Custom-710640</t>
  </si>
  <si>
    <t>Myrnam.AgCM</t>
  </si>
  <si>
    <t>Custom-710650</t>
  </si>
  <si>
    <t>High.Level.AP</t>
  </si>
  <si>
    <t>Custom-710660</t>
  </si>
  <si>
    <t>New.Serepta.AgCM</t>
  </si>
  <si>
    <t>Custom-710670</t>
  </si>
  <si>
    <t>Peace.River.AP</t>
  </si>
  <si>
    <t>Custom-710680</t>
  </si>
  <si>
    <t>Slave.Lake.AP</t>
  </si>
  <si>
    <t>Custom-710690</t>
  </si>
  <si>
    <t>Pakowki.Lake.AgCM</t>
  </si>
  <si>
    <t>Custom-710700</t>
  </si>
  <si>
    <t>Jenny.Lind.Island.AP</t>
  </si>
  <si>
    <t>Queenstown</t>
  </si>
  <si>
    <t>Custom-710730</t>
  </si>
  <si>
    <t>Whale.Cove.AP</t>
  </si>
  <si>
    <t>Custom-710735</t>
  </si>
  <si>
    <t>Isachsen</t>
  </si>
  <si>
    <t>Custom-710740</t>
  </si>
  <si>
    <t>Collins.Bay</t>
  </si>
  <si>
    <t>Custom-710750</t>
  </si>
  <si>
    <t>Uranium.City.AP</t>
  </si>
  <si>
    <t>Custom-710760</t>
  </si>
  <si>
    <t>Buffalo.Narrows.AP</t>
  </si>
  <si>
    <t>Custom-710770</t>
  </si>
  <si>
    <t>Lynn.Lake.AP</t>
  </si>
  <si>
    <t>Custom-710780</t>
  </si>
  <si>
    <t>Thompson.AP</t>
  </si>
  <si>
    <t>Custom-710790</t>
  </si>
  <si>
    <t>Mackar.Inlet</t>
  </si>
  <si>
    <t>Igloolik.AP</t>
  </si>
  <si>
    <t>Alert.AP</t>
  </si>
  <si>
    <t>Rankin.Inlet.AP</t>
  </si>
  <si>
    <t>Custom-710830</t>
  </si>
  <si>
    <t>Hat.Island</t>
  </si>
  <si>
    <t>Custom-710840</t>
  </si>
  <si>
    <t>Pincher.Creek.AP</t>
  </si>
  <si>
    <t>Custom-710850</t>
  </si>
  <si>
    <t>Fort.Providence.AP</t>
  </si>
  <si>
    <t>Custom-710870</t>
  </si>
  <si>
    <t>Rowley.Island.AP</t>
  </si>
  <si>
    <t>Custom-710880</t>
  </si>
  <si>
    <t>Ribstone.South.AgCM</t>
  </si>
  <si>
    <t>Custom-710890</t>
  </si>
  <si>
    <t>Clyde.River.AP</t>
  </si>
  <si>
    <t>Custom-710900</t>
  </si>
  <si>
    <t>Longstaff.Bluff.AP</t>
  </si>
  <si>
    <t>Dewar.Lakes.Stn</t>
  </si>
  <si>
    <t>Custom-710920</t>
  </si>
  <si>
    <t>Cape.Hooper</t>
  </si>
  <si>
    <t>Custom-710930</t>
  </si>
  <si>
    <t>Cape.Dyer</t>
  </si>
  <si>
    <t>Custom-710940</t>
  </si>
  <si>
    <t>Naujaat-Repulse.Bay.AP</t>
  </si>
  <si>
    <t>Custom-710944</t>
  </si>
  <si>
    <t>Pond.Inlet.AP</t>
  </si>
  <si>
    <t>Custom-710950</t>
  </si>
  <si>
    <t>Broughton.Island</t>
  </si>
  <si>
    <t>Custom-710960</t>
  </si>
  <si>
    <t>Brevoort.Island</t>
  </si>
  <si>
    <t>Custom-710970</t>
  </si>
  <si>
    <t>Fort.Severn.AP</t>
  </si>
  <si>
    <t>Custom-710990</t>
  </si>
  <si>
    <t>Triple.Island.Lightstation</t>
  </si>
  <si>
    <t>Rivercourse.AgCM</t>
  </si>
  <si>
    <t>Custom-711020</t>
  </si>
  <si>
    <t>Quesnel.AWOS</t>
  </si>
  <si>
    <t>Custom-711030</t>
  </si>
  <si>
    <t>Williams.Lake.Rgnl.AP</t>
  </si>
  <si>
    <t>Custom-711040</t>
  </si>
  <si>
    <t>Rolling.Hills.AgCM</t>
  </si>
  <si>
    <t>Custom-711050</t>
  </si>
  <si>
    <t>Tofino-Long.Beach.AP</t>
  </si>
  <si>
    <t>Custom-711060</t>
  </si>
  <si>
    <t>Cape.St.James.Heli</t>
  </si>
  <si>
    <t>Custom-711070</t>
  </si>
  <si>
    <t>Hoskins.Inlet</t>
  </si>
  <si>
    <t>Abbotsford.Intl.AP</t>
  </si>
  <si>
    <t>Custom-711080</t>
  </si>
  <si>
    <t>Port.Hardy.AP</t>
  </si>
  <si>
    <t>Custom-711090</t>
  </si>
  <si>
    <t>St.Lawrence</t>
  </si>
  <si>
    <t>Custom-711100</t>
  </si>
  <si>
    <t>Sandspit.AP</t>
  </si>
  <si>
    <t>Custom-711110</t>
  </si>
  <si>
    <t>Richmond.Operation.Centre</t>
  </si>
  <si>
    <t>Amphitrite.Point.Lighthouse</t>
  </si>
  <si>
    <t>ERA5-TMYx</t>
  </si>
  <si>
    <t>Agassiz.RCS</t>
  </si>
  <si>
    <t>Custom-711130</t>
  </si>
  <si>
    <t>Vernon</t>
  </si>
  <si>
    <t>Custom-711150</t>
  </si>
  <si>
    <t>Onefour.CDA</t>
  </si>
  <si>
    <t>Custom-711160</t>
  </si>
  <si>
    <t>CFB.Wainwright-Wainwright.Field.21.AF</t>
  </si>
  <si>
    <t>Custom-711180</t>
  </si>
  <si>
    <t>CFB.Cold.Lake.AP</t>
  </si>
  <si>
    <t>Custom-711200</t>
  </si>
  <si>
    <t>CFB.Edmonton</t>
  </si>
  <si>
    <t>Custom-711210</t>
  </si>
  <si>
    <t>Banff.CS</t>
  </si>
  <si>
    <t>Custom-711220</t>
  </si>
  <si>
    <t>Edmonton.Intl.AP</t>
  </si>
  <si>
    <t>Custom-711230</t>
  </si>
  <si>
    <t>Edmonton-Villeneuve.AP</t>
  </si>
  <si>
    <t>Custom-711233</t>
  </si>
  <si>
    <t>Edmonton-Stony.Plain.AP.CS</t>
  </si>
  <si>
    <t>Custom-711270</t>
  </si>
  <si>
    <t>Kindersley.Rgnl.AP</t>
  </si>
  <si>
    <t>Custom-711290</t>
  </si>
  <si>
    <t>Eastend-Cypress</t>
  </si>
  <si>
    <t>Custom-711310</t>
  </si>
  <si>
    <t>Stony.Rapids.AP</t>
  </si>
  <si>
    <t>Custom-711320</t>
  </si>
  <si>
    <t>Spiritwood.West</t>
  </si>
  <si>
    <t>Custom-711330</t>
  </si>
  <si>
    <t>Beartooth.Island</t>
  </si>
  <si>
    <t>Rockglen</t>
  </si>
  <si>
    <t>Custom-711350</t>
  </si>
  <si>
    <t>Brandon.RCS</t>
  </si>
  <si>
    <t>Val.Marie.Southeast</t>
  </si>
  <si>
    <t>Custom-711370</t>
  </si>
  <si>
    <t>Cypress.Hills.Park</t>
  </si>
  <si>
    <t>Custom-711390</t>
  </si>
  <si>
    <t>Brandon.Muni.AP</t>
  </si>
  <si>
    <t>Custom-711400</t>
  </si>
  <si>
    <t>Beausejour</t>
  </si>
  <si>
    <t>Gateshead.Island</t>
  </si>
  <si>
    <t>Custom-711410</t>
  </si>
  <si>
    <t>Swift.Current.AP</t>
  </si>
  <si>
    <t>Custom-711420</t>
  </si>
  <si>
    <t>Bachelors.Island.Marine</t>
  </si>
  <si>
    <t>Oak.Point.Marine</t>
  </si>
  <si>
    <t>Custom-711440</t>
  </si>
  <si>
    <t>Island.Lake.AP</t>
  </si>
  <si>
    <t>Custom-711450</t>
  </si>
  <si>
    <t>Carman-Univ.of.Manitoba.Research.Farm.CS</t>
  </si>
  <si>
    <t>Custom-711470</t>
  </si>
  <si>
    <t>Pilot.Mound</t>
  </si>
  <si>
    <t>Custom-711480</t>
  </si>
  <si>
    <t>McCreary</t>
  </si>
  <si>
    <t>Custom-711490</t>
  </si>
  <si>
    <t>Shoal.Lake.AP</t>
  </si>
  <si>
    <t>Custom-711500</t>
  </si>
  <si>
    <t>Kenora.RCS</t>
  </si>
  <si>
    <t>Burgeo</t>
  </si>
  <si>
    <t>Custom-711520</t>
  </si>
  <si>
    <t>Cardston</t>
  </si>
  <si>
    <t>Custom-711530</t>
  </si>
  <si>
    <t>Waterton.Lakes.Natl.Park.Gate</t>
  </si>
  <si>
    <t>Custom-711540</t>
  </si>
  <si>
    <t>Edmonton.Intl.CS</t>
  </si>
  <si>
    <t>Custom-711550</t>
  </si>
  <si>
    <t>Edson.CS</t>
  </si>
  <si>
    <t>Edmonton.Muni.AP</t>
  </si>
  <si>
    <t>Custom-711570</t>
  </si>
  <si>
    <t>Berens.River.AP.CS</t>
  </si>
  <si>
    <t>Custom-711580</t>
  </si>
  <si>
    <t>Stephenville.RCS</t>
  </si>
  <si>
    <t>Fort.Reliance</t>
  </si>
  <si>
    <t>Custom-711600</t>
  </si>
  <si>
    <t>Brockville-Tackaberry.Thousand.Islands.Rgnl.AP</t>
  </si>
  <si>
    <t>Custom-711610</t>
  </si>
  <si>
    <t>Inner.Whalebacks-Great.Slave.Lake</t>
  </si>
  <si>
    <t>Custom-711620</t>
  </si>
  <si>
    <t>Lac.la.Martre-Whati.AP</t>
  </si>
  <si>
    <t>Custom-711630</t>
  </si>
  <si>
    <t>Little.Chicago</t>
  </si>
  <si>
    <t>Custom-711640</t>
  </si>
  <si>
    <t>Rae.Lakes.AP</t>
  </si>
  <si>
    <t>Custom-711650</t>
  </si>
  <si>
    <t>Trout.Lake.AP</t>
  </si>
  <si>
    <t>Custom-711660</t>
  </si>
  <si>
    <t>Carberry</t>
  </si>
  <si>
    <t>Custom-711700</t>
  </si>
  <si>
    <t>Vineland.Stn.RCS</t>
  </si>
  <si>
    <t>Custom-711710</t>
  </si>
  <si>
    <t>Parry.Sound.CCG</t>
  </si>
  <si>
    <t>Custom-711720</t>
  </si>
  <si>
    <t>Arviat.AP</t>
  </si>
  <si>
    <t>Custom-711740</t>
  </si>
  <si>
    <t>Whistler-Nesters-Spruce.Grove.Park</t>
  </si>
  <si>
    <t>Custom-711750</t>
  </si>
  <si>
    <t>Cape.Kakkiviak</t>
  </si>
  <si>
    <t>Custom-711760</t>
  </si>
  <si>
    <t>Cape.Kiglapait</t>
  </si>
  <si>
    <t>Custom-711770</t>
  </si>
  <si>
    <t>Bonavista</t>
  </si>
  <si>
    <t>Custom-711780</t>
  </si>
  <si>
    <t>Tukialik.Bay</t>
  </si>
  <si>
    <t>Custom-711790</t>
  </si>
  <si>
    <t>Wreckhouse</t>
  </si>
  <si>
    <t>Custom-711800</t>
  </si>
  <si>
    <t>Winterland.AP</t>
  </si>
  <si>
    <t>Custom-711810</t>
  </si>
  <si>
    <t>Varennes</t>
  </si>
  <si>
    <t>Custom-711840</t>
  </si>
  <si>
    <t>Daniels.Harbour</t>
  </si>
  <si>
    <t>Custom-711850</t>
  </si>
  <si>
    <t>Cap.Rouge</t>
  </si>
  <si>
    <t>Custom-711860</t>
  </si>
  <si>
    <t>Hope.Rgnl.AP</t>
  </si>
  <si>
    <t>Custom-711870</t>
  </si>
  <si>
    <t>Gaspe.AP</t>
  </si>
  <si>
    <t>Custom-711880</t>
  </si>
  <si>
    <t>Pointe.Claveau</t>
  </si>
  <si>
    <t>Custom-711890</t>
  </si>
  <si>
    <t>Pointe.de.l-Islet</t>
  </si>
  <si>
    <t>Custom-711900</t>
  </si>
  <si>
    <t>Fundy.Natl.Park.CS</t>
  </si>
  <si>
    <t>Custom-711910</t>
  </si>
  <si>
    <t>Quesnel</t>
  </si>
  <si>
    <t>Custom-711920</t>
  </si>
  <si>
    <t>Timmins.CS</t>
  </si>
  <si>
    <t>Saint.Albans</t>
  </si>
  <si>
    <t>Pembroke.AP</t>
  </si>
  <si>
    <t>Custom-711960</t>
  </si>
  <si>
    <t>Channel-Port.aux.Basques</t>
  </si>
  <si>
    <t>Custom-711970</t>
  </si>
  <si>
    <t>Lac.Saint-Pierre</t>
  </si>
  <si>
    <t>Custom-711980</t>
  </si>
  <si>
    <t>Watson.Lake.AP</t>
  </si>
  <si>
    <t>Custom-711990</t>
  </si>
  <si>
    <t>Victoria-Gonzales.CS</t>
  </si>
  <si>
    <t>Custom-712000</t>
  </si>
  <si>
    <t>Vancouver.Harbour.CS</t>
  </si>
  <si>
    <t>Custom-712010</t>
  </si>
  <si>
    <t>Rosalind.AgCM</t>
  </si>
  <si>
    <t>Custom-712020</t>
  </si>
  <si>
    <t>Kelowna.Intl.AP</t>
  </si>
  <si>
    <t>Custom-712030</t>
  </si>
  <si>
    <t>Mankota</t>
  </si>
  <si>
    <t>Custom-712040</t>
  </si>
  <si>
    <t>Bella.Coola.AP</t>
  </si>
  <si>
    <t>Custom-712060</t>
  </si>
  <si>
    <t>Squamish.AP</t>
  </si>
  <si>
    <t>Custom-712070</t>
  </si>
  <si>
    <t>Big.Trout.Lake.AP</t>
  </si>
  <si>
    <t>Custom-712080</t>
  </si>
  <si>
    <t>Sandheads.CS</t>
  </si>
  <si>
    <t>Custom-712090</t>
  </si>
  <si>
    <t>Howe.Sound-Pam.Rocks</t>
  </si>
  <si>
    <t>Custom-712110</t>
  </si>
  <si>
    <t>Foret.Montmorency.RCS</t>
  </si>
  <si>
    <t>Custom-712120</t>
  </si>
  <si>
    <t>Earlton.CS</t>
  </si>
  <si>
    <t>Bodo.AGDM</t>
  </si>
  <si>
    <t>Custom-712140</t>
  </si>
  <si>
    <t>Osoyoos</t>
  </si>
  <si>
    <t>Custom-712150</t>
  </si>
  <si>
    <t>Nakusp.AP.CS</t>
  </si>
  <si>
    <t>Custom-712160</t>
  </si>
  <si>
    <t>Champion.AgDM</t>
  </si>
  <si>
    <t>Custom-712170</t>
  </si>
  <si>
    <t>Salmon.Arm.CS</t>
  </si>
  <si>
    <t>Custom-712180</t>
  </si>
  <si>
    <t>Holland.Rock</t>
  </si>
  <si>
    <t>Custom-712190</t>
  </si>
  <si>
    <t>Lucy.Islands.Lighthouse</t>
  </si>
  <si>
    <t>Custom-712200</t>
  </si>
  <si>
    <t>Cleardale.AgDM</t>
  </si>
  <si>
    <t>Custom-712210</t>
  </si>
  <si>
    <t>Dease.Lake.AP</t>
  </si>
  <si>
    <t>Custom-712220</t>
  </si>
  <si>
    <t>Consort.AgDM</t>
  </si>
  <si>
    <t>Custom-712230</t>
  </si>
  <si>
    <t>Del.Bonita.AgDM</t>
  </si>
  <si>
    <t>Custom-712240</t>
  </si>
  <si>
    <t>Foremost.AgDM</t>
  </si>
  <si>
    <t>Custom-712250</t>
  </si>
  <si>
    <t>High.Prairie.AgDM</t>
  </si>
  <si>
    <t>Custom-712260</t>
  </si>
  <si>
    <t>Holden.AgDM</t>
  </si>
  <si>
    <t>Custom-712270</t>
  </si>
  <si>
    <t>Killam.AgDM</t>
  </si>
  <si>
    <t>Custom-712280</t>
  </si>
  <si>
    <t>Manning.AgDM</t>
  </si>
  <si>
    <t>Custom-712290</t>
  </si>
  <si>
    <t>Beaverlodge.RCS</t>
  </si>
  <si>
    <t>Custom-712300</t>
  </si>
  <si>
    <t>Bow.Island</t>
  </si>
  <si>
    <t>Custom-712310</t>
  </si>
  <si>
    <t>Bow.Valley.Prov.Park</t>
  </si>
  <si>
    <t>Custom-712320</t>
  </si>
  <si>
    <t>Breton.Plots</t>
  </si>
  <si>
    <t>Custom-712330</t>
  </si>
  <si>
    <t>Claresholm.AP</t>
  </si>
  <si>
    <t>Custom-712340</t>
  </si>
  <si>
    <t>Calgary-Canadian.Olympic.Park.Upper</t>
  </si>
  <si>
    <t>Custom-712350</t>
  </si>
  <si>
    <t>Crowsnest</t>
  </si>
  <si>
    <t>Custom-712360</t>
  </si>
  <si>
    <t>Drumheller.East</t>
  </si>
  <si>
    <t>Custom-712370</t>
  </si>
  <si>
    <t>Elk.Island.Natl.Park</t>
  </si>
  <si>
    <t>Custom-712380</t>
  </si>
  <si>
    <t>Cypress.River.RCS</t>
  </si>
  <si>
    <t>Custom-712390</t>
  </si>
  <si>
    <t>Esther</t>
  </si>
  <si>
    <t>Custom-712400</t>
  </si>
  <si>
    <t>Highvale</t>
  </si>
  <si>
    <t>Lacombe</t>
  </si>
  <si>
    <t>Custom-712420</t>
  </si>
  <si>
    <t>Lethbridge.CDA</t>
  </si>
  <si>
    <t>Custom-712430</t>
  </si>
  <si>
    <t>Milk.River.AP</t>
  </si>
  <si>
    <t>Custom-712440</t>
  </si>
  <si>
    <t>Nakiska.Ski.Resort.Ridgetop</t>
  </si>
  <si>
    <t>Custom-712450</t>
  </si>
  <si>
    <t>Red.Earth.Creek.AP</t>
  </si>
  <si>
    <t>Custom-712460</t>
  </si>
  <si>
    <t>Sundre.AP</t>
  </si>
  <si>
    <t>Custom-712480</t>
  </si>
  <si>
    <t>Three.Hills.AP</t>
  </si>
  <si>
    <t>Custom-712490</t>
  </si>
  <si>
    <t>St.Johns.West.Climate</t>
  </si>
  <si>
    <t>Custom-712500</t>
  </si>
  <si>
    <t>Vauxhall</t>
  </si>
  <si>
    <t>Custom-712510</t>
  </si>
  <si>
    <t>Willow.Creek</t>
  </si>
  <si>
    <t>Custom-712520</t>
  </si>
  <si>
    <t>Garden.River.AP</t>
  </si>
  <si>
    <t>Custom-712530</t>
  </si>
  <si>
    <t>Camrose.AP</t>
  </si>
  <si>
    <t>Custom-712540</t>
  </si>
  <si>
    <t>Mildred.Lake.AP</t>
  </si>
  <si>
    <t>Custom-712550</t>
  </si>
  <si>
    <t>Morrin.AgDM</t>
  </si>
  <si>
    <t>Custom-712570</t>
  </si>
  <si>
    <t>Olds.AgDM</t>
  </si>
  <si>
    <t>Custom-712580</t>
  </si>
  <si>
    <t>Pollockville.AgDM</t>
  </si>
  <si>
    <t>Custom-712590</t>
  </si>
  <si>
    <t>Sault.Ste.Marie.AP</t>
  </si>
  <si>
    <t>Custom-712600</t>
  </si>
  <si>
    <t>Goderich.Muni.AP</t>
  </si>
  <si>
    <t>Custom-712610</t>
  </si>
  <si>
    <t>Niagara.District.AP</t>
  </si>
  <si>
    <t>Custom-712625</t>
  </si>
  <si>
    <t>Hamilton.Intl.AP</t>
  </si>
  <si>
    <t>Custom-712630</t>
  </si>
  <si>
    <t>Rawdon</t>
  </si>
  <si>
    <t>Shearwater.RCS</t>
  </si>
  <si>
    <t>Bishop-Toronto.City.AP</t>
  </si>
  <si>
    <t>Custom-712650</t>
  </si>
  <si>
    <t>Lethbridge.AP</t>
  </si>
  <si>
    <t>Custom-712670</t>
  </si>
  <si>
    <t>Schuler.AgDM</t>
  </si>
  <si>
    <t>Custom-712690</t>
  </si>
  <si>
    <t>Collingwood</t>
  </si>
  <si>
    <t>Custom-712700</t>
  </si>
  <si>
    <t>Athabasca.AgCM</t>
  </si>
  <si>
    <t>Custom-712710</t>
  </si>
  <si>
    <t>Tadoule.Lake.AP</t>
  </si>
  <si>
    <t>Custom-712720</t>
  </si>
  <si>
    <t>Loon.Lake.AP.RCS</t>
  </si>
  <si>
    <t>Custom-712730</t>
  </si>
  <si>
    <t>Smoky.Lake.AgDM</t>
  </si>
  <si>
    <t>Custom-712740</t>
  </si>
  <si>
    <t>St.Paul.AgDM</t>
  </si>
  <si>
    <t>Custom-712750</t>
  </si>
  <si>
    <t>Two.Hills.AgDM</t>
  </si>
  <si>
    <t>Custom-712760</t>
  </si>
  <si>
    <t>Valleyview.AgDM</t>
  </si>
  <si>
    <t>Custom-712770</t>
  </si>
  <si>
    <t>Vermilion.AgDM</t>
  </si>
  <si>
    <t>Custom-712780</t>
  </si>
  <si>
    <t>Sept-Iles.CS</t>
  </si>
  <si>
    <t>Grenadier.Island</t>
  </si>
  <si>
    <t>Custom-712810</t>
  </si>
  <si>
    <t>Lagoon.City</t>
  </si>
  <si>
    <t>Custom-712820</t>
  </si>
  <si>
    <t>Brownvale.AgCM</t>
  </si>
  <si>
    <t>Custom-712830</t>
  </si>
  <si>
    <t>Busby.AgCM</t>
  </si>
  <si>
    <t>Custom-712840</t>
  </si>
  <si>
    <t>Abee.AgDM</t>
  </si>
  <si>
    <t>Custom-712850</t>
  </si>
  <si>
    <t>Andrew.AgDM</t>
  </si>
  <si>
    <t>Custom-712860</t>
  </si>
  <si>
    <t>Atmore.AgDM</t>
  </si>
  <si>
    <t>Custom-712870</t>
  </si>
  <si>
    <t>Stettler.AgDM</t>
  </si>
  <si>
    <t>Custom-712890</t>
  </si>
  <si>
    <t>Mackenzie.AP</t>
  </si>
  <si>
    <t>Custom-712900</t>
  </si>
  <si>
    <t>Cameron.Falls</t>
  </si>
  <si>
    <t>Custom-712910</t>
  </si>
  <si>
    <t>Yorkton.Muni.AP</t>
  </si>
  <si>
    <t>Custom-712920</t>
  </si>
  <si>
    <t>Bancroft.AP</t>
  </si>
  <si>
    <t>Custom-712940</t>
  </si>
  <si>
    <t>Ear.Falls</t>
  </si>
  <si>
    <t>Custom-712950</t>
  </si>
  <si>
    <t>Egbert.CS</t>
  </si>
  <si>
    <t>Custom-712960</t>
  </si>
  <si>
    <t>Egbert.CS.CRN</t>
  </si>
  <si>
    <t>Hamilton-Royal.Botanic.Gardens</t>
  </si>
  <si>
    <t>Custom-712970</t>
  </si>
  <si>
    <t>Harrow.CDA</t>
  </si>
  <si>
    <t>Custom-712980</t>
  </si>
  <si>
    <t>Kemptville.CS</t>
  </si>
  <si>
    <t>Custom-713000</t>
  </si>
  <si>
    <t>Kirkland.Lake.CS</t>
  </si>
  <si>
    <t>Custom-713010</t>
  </si>
  <si>
    <t>Point.Pelee.Natl.Park</t>
  </si>
  <si>
    <t>Custom-713030</t>
  </si>
  <si>
    <t>Beaver.Mines</t>
  </si>
  <si>
    <t>Custom-713040</t>
  </si>
  <si>
    <t>Ridgetown.RCS</t>
  </si>
  <si>
    <t>Custom-713070</t>
  </si>
  <si>
    <t>Tracadie</t>
  </si>
  <si>
    <t>Custom-713080</t>
  </si>
  <si>
    <t>Moosonee.RCS</t>
  </si>
  <si>
    <t>St.Peters.Bay</t>
  </si>
  <si>
    <t>Custom-713100</t>
  </si>
  <si>
    <t>Nappan</t>
  </si>
  <si>
    <t>Custom-713110</t>
  </si>
  <si>
    <t>Nipawin.AP</t>
  </si>
  <si>
    <t>Custom-713120</t>
  </si>
  <si>
    <t>Barrie-Lake.Simcoe.Rgnl.AP</t>
  </si>
  <si>
    <t>Custom-713140</t>
  </si>
  <si>
    <t>Charlo.AP</t>
  </si>
  <si>
    <t>Custom-713150</t>
  </si>
  <si>
    <t>Lac.la.Biche.AP</t>
  </si>
  <si>
    <t>Custom-713160</t>
  </si>
  <si>
    <t>Debert.AP</t>
  </si>
  <si>
    <t>Custom-713170</t>
  </si>
  <si>
    <t>Coronation.AP</t>
  </si>
  <si>
    <t>Custom-713180</t>
  </si>
  <si>
    <t>Le.Massif.de.Charlevoix.Ski.Resort</t>
  </si>
  <si>
    <t>Custom-713190</t>
  </si>
  <si>
    <t>Hall.Beach.AP</t>
  </si>
  <si>
    <t>Custom-713200</t>
  </si>
  <si>
    <t>Iqaluit.CS</t>
  </si>
  <si>
    <t>Arviat.CS</t>
  </si>
  <si>
    <t>Beauceville</t>
  </si>
  <si>
    <t>Custom-713230</t>
  </si>
  <si>
    <t>Osborne.Head.DND</t>
  </si>
  <si>
    <t>Custom-713240</t>
  </si>
  <si>
    <t>Bedford.Range</t>
  </si>
  <si>
    <t>Custom-713250</t>
  </si>
  <si>
    <t>CFB.Halifax-Windsor.Park</t>
  </si>
  <si>
    <t>Custom-713270</t>
  </si>
  <si>
    <t>Bedford.Basin</t>
  </si>
  <si>
    <t>Custom-713290</t>
  </si>
  <si>
    <t>Island.Falls</t>
  </si>
  <si>
    <t>Custom-713310</t>
  </si>
  <si>
    <t>Kugluktuk.CS</t>
  </si>
  <si>
    <t>Ile.aux.Grues.AP</t>
  </si>
  <si>
    <t>Tadoule.Lake.CS</t>
  </si>
  <si>
    <t>Custom-713340</t>
  </si>
  <si>
    <t>Saglek.AP</t>
  </si>
  <si>
    <t>Custom-713350</t>
  </si>
  <si>
    <t>Grates.Cove</t>
  </si>
  <si>
    <t>Custom-713360</t>
  </si>
  <si>
    <t>La.Scie</t>
  </si>
  <si>
    <t>Custom-713370</t>
  </si>
  <si>
    <t>Marys.Harbour.AP</t>
  </si>
  <si>
    <t>Custom-713390</t>
  </si>
  <si>
    <t>Dapp.AgDM</t>
  </si>
  <si>
    <t>Custom-713400</t>
  </si>
  <si>
    <t>Brocket.AgDM</t>
  </si>
  <si>
    <t>Custom-713410</t>
  </si>
  <si>
    <t>Oyen.AgDM</t>
  </si>
  <si>
    <t>Custom-713420</t>
  </si>
  <si>
    <t>Wrentham.AgDM</t>
  </si>
  <si>
    <t>Custom-713430</t>
  </si>
  <si>
    <t>Hussar.AgDM</t>
  </si>
  <si>
    <t>Custom-713440</t>
  </si>
  <si>
    <t>Masinasin.AgDM</t>
  </si>
  <si>
    <t>Custom-713450</t>
  </si>
  <si>
    <t>Barnwell.AgDM</t>
  </si>
  <si>
    <t>Custom-713460</t>
  </si>
  <si>
    <t>Fairview.AgDM</t>
  </si>
  <si>
    <t>Custom-713470</t>
  </si>
  <si>
    <t>Peoria.AgDM</t>
  </si>
  <si>
    <t>Custom-713480</t>
  </si>
  <si>
    <t>Rich.Lake.AgDM</t>
  </si>
  <si>
    <t>Custom-713490</t>
  </si>
  <si>
    <t>Harrington.CDA.CS</t>
  </si>
  <si>
    <t>Custom-713500</t>
  </si>
  <si>
    <t>Oliver.AgDM</t>
  </si>
  <si>
    <t>Custom-713510</t>
  </si>
  <si>
    <t>Elora.RCS</t>
  </si>
  <si>
    <t>Custom-713520</t>
  </si>
  <si>
    <t>Prentiss</t>
  </si>
  <si>
    <t>Custom-713530</t>
  </si>
  <si>
    <t>Mundare.AgDM</t>
  </si>
  <si>
    <t>Custom-713540</t>
  </si>
  <si>
    <t>CFB.Alert</t>
  </si>
  <si>
    <t>Custom-713550</t>
  </si>
  <si>
    <t>Baker.Lake.CS</t>
  </si>
  <si>
    <t>Qikiqtarjuaq.AP</t>
  </si>
  <si>
    <t>Custom-713570</t>
  </si>
  <si>
    <t>Clyde.River.CS</t>
  </si>
  <si>
    <t>Dewberry.AgCM</t>
  </si>
  <si>
    <t>Custom-713590</t>
  </si>
  <si>
    <t>Edgerton.AgCM</t>
  </si>
  <si>
    <t>Custom-713600</t>
  </si>
  <si>
    <t>Hay.River.CS</t>
  </si>
  <si>
    <t>Fort.Smith.CS</t>
  </si>
  <si>
    <t>Gjoa.Haven.CS</t>
  </si>
  <si>
    <t>Inuvik.CS</t>
  </si>
  <si>
    <t>Fort.Simpson.CS</t>
  </si>
  <si>
    <t>Region.of.Waterloo.Intl.AP</t>
  </si>
  <si>
    <t>Custom-713680</t>
  </si>
  <si>
    <t>Shawinigan</t>
  </si>
  <si>
    <t>Custom-713700</t>
  </si>
  <si>
    <t>Montreal-St.Hubert-Longueuil.AP</t>
  </si>
  <si>
    <t>Custom-713710</t>
  </si>
  <si>
    <t>L-Acadie</t>
  </si>
  <si>
    <t>Custom-713720</t>
  </si>
  <si>
    <t>Frelighsburg</t>
  </si>
  <si>
    <t>Custom-713730</t>
  </si>
  <si>
    <t>Cap.Whittle</t>
  </si>
  <si>
    <t>Custom-713740</t>
  </si>
  <si>
    <t>Ile.aux.Perroquets</t>
  </si>
  <si>
    <t>Custom-713750</t>
  </si>
  <si>
    <t>St.Jovite</t>
  </si>
  <si>
    <t>Custom-713760</t>
  </si>
  <si>
    <t>Ste.Anne.de.Bellevue</t>
  </si>
  <si>
    <t>Custom-713770</t>
  </si>
  <si>
    <t>La.Tuque.AP</t>
  </si>
  <si>
    <t>Custom-713780</t>
  </si>
  <si>
    <t>Normandin</t>
  </si>
  <si>
    <t>Custom-713790</t>
  </si>
  <si>
    <t>Crestomere.AgCM</t>
  </si>
  <si>
    <t>Custom-713800</t>
  </si>
  <si>
    <t>Mistook</t>
  </si>
  <si>
    <t>Custom-713810</t>
  </si>
  <si>
    <t>L-Etape</t>
  </si>
  <si>
    <t>Custom-713820</t>
  </si>
  <si>
    <t>Bonnard</t>
  </si>
  <si>
    <t>Custom-713830</t>
  </si>
  <si>
    <t>Cap.Tourmente</t>
  </si>
  <si>
    <t>Custom-713840</t>
  </si>
  <si>
    <t>Ile.Bicquette</t>
  </si>
  <si>
    <t>Custom-713850</t>
  </si>
  <si>
    <t>Amqui</t>
  </si>
  <si>
    <t>Custom-713860</t>
  </si>
  <si>
    <t>Onatchiway</t>
  </si>
  <si>
    <t>Custom-713870</t>
  </si>
  <si>
    <t>La.Baie</t>
  </si>
  <si>
    <t>Custom-713880</t>
  </si>
  <si>
    <t>Deschambault</t>
  </si>
  <si>
    <t>Custom-713890</t>
  </si>
  <si>
    <t>Pointe.Noire.CS</t>
  </si>
  <si>
    <t>Custom-713900</t>
  </si>
  <si>
    <t>Les.Grandes.Chutes-High.Falls</t>
  </si>
  <si>
    <t>Custom-713910</t>
  </si>
  <si>
    <t>Quebec.City-Ste.Foy-Univ.Laval</t>
  </si>
  <si>
    <t>Custom-713920</t>
  </si>
  <si>
    <t>Halifax-Stanfield.Intl.AP</t>
  </si>
  <si>
    <t>Custom-713950</t>
  </si>
  <si>
    <t>CFB.Greenwood</t>
  </si>
  <si>
    <t>Custom-713970</t>
  </si>
  <si>
    <t>Moosonee.AP</t>
  </si>
  <si>
    <t>Custom-713980</t>
  </si>
  <si>
    <t>Chatham.Brownsburg</t>
  </si>
  <si>
    <t>Sedalia.AgCM</t>
  </si>
  <si>
    <t>Custom-713990</t>
  </si>
  <si>
    <t>Badger</t>
  </si>
  <si>
    <t>Custom-714000</t>
  </si>
  <si>
    <t>Warfield.RCS</t>
  </si>
  <si>
    <t>Custom-714010</t>
  </si>
  <si>
    <t>Twillingate</t>
  </si>
  <si>
    <t>Custom-714020</t>
  </si>
  <si>
    <t>Beaver.Island.Lighthouse</t>
  </si>
  <si>
    <t>Custom-714030</t>
  </si>
  <si>
    <t>Egg.Island</t>
  </si>
  <si>
    <t>Custom-714040</t>
  </si>
  <si>
    <t>Shonts.AgCM</t>
  </si>
  <si>
    <t>Custom-714050</t>
  </si>
  <si>
    <t>Ferolle.Point</t>
  </si>
  <si>
    <t>Custom-714060</t>
  </si>
  <si>
    <t>Kugaaruk.AP</t>
  </si>
  <si>
    <t>Custom-714070</t>
  </si>
  <si>
    <t>Sagona.Island</t>
  </si>
  <si>
    <t>Custom-714080</t>
  </si>
  <si>
    <t>Etzicom.AgCM</t>
  </si>
  <si>
    <t>Custom-714090</t>
  </si>
  <si>
    <t>Norway.House.AP</t>
  </si>
  <si>
    <t>Custom-714100</t>
  </si>
  <si>
    <t>Western.Head</t>
  </si>
  <si>
    <t>Custom-714110</t>
  </si>
  <si>
    <t>East.Point</t>
  </si>
  <si>
    <t>Custom-714120</t>
  </si>
  <si>
    <t>Spondin.AgCM</t>
  </si>
  <si>
    <t>Custom-714130</t>
  </si>
  <si>
    <t>Dupre.AgCM</t>
  </si>
  <si>
    <t>Custom-714140</t>
  </si>
  <si>
    <t>Caribou.Point.Lighthouse</t>
  </si>
  <si>
    <t>Custom-714150</t>
  </si>
  <si>
    <t>Fourchu.Head</t>
  </si>
  <si>
    <t>Englee</t>
  </si>
  <si>
    <t>Custom-714170</t>
  </si>
  <si>
    <t>St.Paul.Island</t>
  </si>
  <si>
    <t>Custom-714180</t>
  </si>
  <si>
    <t>Hart.Island</t>
  </si>
  <si>
    <t>Custom-714190</t>
  </si>
  <si>
    <t>Lac.Eon</t>
  </si>
  <si>
    <t>Custom-714210</t>
  </si>
  <si>
    <t>Sutton.Junction</t>
  </si>
  <si>
    <t>Heath.Point</t>
  </si>
  <si>
    <t>Custom-714230</t>
  </si>
  <si>
    <t>Ile.d-Orleans</t>
  </si>
  <si>
    <t>Cap.de.la.Madeleine.Lighthouse</t>
  </si>
  <si>
    <t>Custom-714250</t>
  </si>
  <si>
    <t>Ile.Rouge.Lighthouse</t>
  </si>
  <si>
    <t>Custom-714260</t>
  </si>
  <si>
    <t>Pointe.des.Monts</t>
  </si>
  <si>
    <t>Custom-714270</t>
  </si>
  <si>
    <t>Cap.Chat</t>
  </si>
  <si>
    <t>Custom-714280</t>
  </si>
  <si>
    <t>Cap.d-Espoir</t>
  </si>
  <si>
    <t>Custom-714290</t>
  </si>
  <si>
    <t>Point.Petre.Lighthouse</t>
  </si>
  <si>
    <t>Custom-714300</t>
  </si>
  <si>
    <t>Cobourg</t>
  </si>
  <si>
    <t>Custom-714310</t>
  </si>
  <si>
    <t>Port.Weller</t>
  </si>
  <si>
    <t>Custom-714320</t>
  </si>
  <si>
    <t>Caribou.Island.Lighthouse</t>
  </si>
  <si>
    <t>Peawanuck.AP</t>
  </si>
  <si>
    <t>Custom-714340</t>
  </si>
  <si>
    <t>Upsala</t>
  </si>
  <si>
    <t>Custom-714350</t>
  </si>
  <si>
    <t>Peterborough.Muni.AP</t>
  </si>
  <si>
    <t>Custom-714360</t>
  </si>
  <si>
    <t>Burlington.Piers</t>
  </si>
  <si>
    <t>Custom-714370</t>
  </si>
  <si>
    <t>Western.Islands.Lighthouse</t>
  </si>
  <si>
    <t>Custom-714380</t>
  </si>
  <si>
    <t>Cove.Island.Lighthouse</t>
  </si>
  <si>
    <t>Custom-714390</t>
  </si>
  <si>
    <t>Standard.AgCM</t>
  </si>
  <si>
    <t>Custom-714400</t>
  </si>
  <si>
    <t>Gretna</t>
  </si>
  <si>
    <t>Custom-714410</t>
  </si>
  <si>
    <t>Fisher.Branch</t>
  </si>
  <si>
    <t>Custom-714420</t>
  </si>
  <si>
    <t>Swan.River.AP.RCS</t>
  </si>
  <si>
    <t>Custom-714430</t>
  </si>
  <si>
    <t>Wasagaming</t>
  </si>
  <si>
    <t>Custom-714440</t>
  </si>
  <si>
    <t>George.Island</t>
  </si>
  <si>
    <t>Custom-714450</t>
  </si>
  <si>
    <t>Swift.Current.CDA</t>
  </si>
  <si>
    <t>Custom-714460</t>
  </si>
  <si>
    <t>Melita</t>
  </si>
  <si>
    <t>Custom-714470</t>
  </si>
  <si>
    <t>Pinawa</t>
  </si>
  <si>
    <t>Custom-714480</t>
  </si>
  <si>
    <t>Sprague</t>
  </si>
  <si>
    <t>Custom-714490</t>
  </si>
  <si>
    <t>Elbow</t>
  </si>
  <si>
    <t>Custom-714500</t>
  </si>
  <si>
    <t>Southend.AP</t>
  </si>
  <si>
    <t>Custom-714510</t>
  </si>
  <si>
    <t>Weyburn.AP</t>
  </si>
  <si>
    <t>Custom-714520</t>
  </si>
  <si>
    <t>Maple.Creek</t>
  </si>
  <si>
    <t>Custom-714530</t>
  </si>
  <si>
    <t>Waskesiu.Lake</t>
  </si>
  <si>
    <t>Custom-714540</t>
  </si>
  <si>
    <t>Lucky.Lake</t>
  </si>
  <si>
    <t>Custom-714550</t>
  </si>
  <si>
    <t>Melfort</t>
  </si>
  <si>
    <t>Custom-714560</t>
  </si>
  <si>
    <t>Brooks</t>
  </si>
  <si>
    <t>Custom-714570</t>
  </si>
  <si>
    <t>Vegreville</t>
  </si>
  <si>
    <t>Custom-714580</t>
  </si>
  <si>
    <t>Leader.AP</t>
  </si>
  <si>
    <t>Custom-714590</t>
  </si>
  <si>
    <t>Killarney.AP</t>
  </si>
  <si>
    <t>Custom-714600</t>
  </si>
  <si>
    <t>Eaglesham.AgCM</t>
  </si>
  <si>
    <t>Custom-714610</t>
  </si>
  <si>
    <t>Great.Duck.Island</t>
  </si>
  <si>
    <t>Custom-714620</t>
  </si>
  <si>
    <t>Port.Colborne</t>
  </si>
  <si>
    <t>Long.Point.Lighthouse</t>
  </si>
  <si>
    <t>Custom-714640</t>
  </si>
  <si>
    <t>Erieau</t>
  </si>
  <si>
    <t>Custom-714650</t>
  </si>
  <si>
    <t>Southeast.Shoal</t>
  </si>
  <si>
    <t>Sachs.Harbour.AP</t>
  </si>
  <si>
    <t>Custom-714670</t>
  </si>
  <si>
    <t>Katatota.Island.MS-Flatland.Island</t>
  </si>
  <si>
    <t>Custom-714680</t>
  </si>
  <si>
    <t>Lupin.AP.CS</t>
  </si>
  <si>
    <t>Custom-714700</t>
  </si>
  <si>
    <t>Dawson.Creek.AP</t>
  </si>
  <si>
    <t>Custom-714710</t>
  </si>
  <si>
    <t>Kindakun.Rocks</t>
  </si>
  <si>
    <t>Custom-714720</t>
  </si>
  <si>
    <t>Masset.AP</t>
  </si>
  <si>
    <t>Saturna.Island.CS-East.Point.Lighthouse</t>
  </si>
  <si>
    <t>Custom-714730</t>
  </si>
  <si>
    <t>Clinton</t>
  </si>
  <si>
    <t>Custom-714740</t>
  </si>
  <si>
    <t>Alberni.Valley.Rgnl.AP</t>
  </si>
  <si>
    <t>Custom-714750</t>
  </si>
  <si>
    <t>Grey.Islet</t>
  </si>
  <si>
    <t>Custom-714760</t>
  </si>
  <si>
    <t>Rose.Spit</t>
  </si>
  <si>
    <t>Custom-714770</t>
  </si>
  <si>
    <t>Sartine.Island</t>
  </si>
  <si>
    <t>Custom-714780</t>
  </si>
  <si>
    <t>Solander.Island.Ecological.Reserve</t>
  </si>
  <si>
    <t>Custom-714790</t>
  </si>
  <si>
    <t>Norman.Wells.CS</t>
  </si>
  <si>
    <t>Evansburg.AgCM</t>
  </si>
  <si>
    <t>Custom-714810</t>
  </si>
  <si>
    <t>Cathedral.Point</t>
  </si>
  <si>
    <t>Custom-714820</t>
  </si>
  <si>
    <t>Fort.Assiniboine.AgCM</t>
  </si>
  <si>
    <t>Custom-714830</t>
  </si>
  <si>
    <t>Bonilla.Island</t>
  </si>
  <si>
    <t>Custom-714840</t>
  </si>
  <si>
    <t>Herbert.Island</t>
  </si>
  <si>
    <t>Custom-714850</t>
  </si>
  <si>
    <t>Jasper-Warden</t>
  </si>
  <si>
    <t>Custom-714860</t>
  </si>
  <si>
    <t>Assiniboia.AP</t>
  </si>
  <si>
    <t>Custom-714870</t>
  </si>
  <si>
    <t>Scott</t>
  </si>
  <si>
    <t>Custom-714890</t>
  </si>
  <si>
    <t>Robertson.Lake</t>
  </si>
  <si>
    <t>Custom-714900</t>
  </si>
  <si>
    <t>Fort.Good.Hope.AP</t>
  </si>
  <si>
    <t>Custom-714910</t>
  </si>
  <si>
    <t>Tuktut.Nogait</t>
  </si>
  <si>
    <t>Custom-714920</t>
  </si>
  <si>
    <t>Parrsboro</t>
  </si>
  <si>
    <t>Custom-714930</t>
  </si>
  <si>
    <t>Thetford.Mines.AP.RCS</t>
  </si>
  <si>
    <t>Custom-714940</t>
  </si>
  <si>
    <t>Neir.AgDM</t>
  </si>
  <si>
    <t>Custom-714950</t>
  </si>
  <si>
    <t>Saskatoon.RCS</t>
  </si>
  <si>
    <t>Fort.Liard.AP</t>
  </si>
  <si>
    <t>Custom-714970</t>
  </si>
  <si>
    <t>Gleichen.AgCM</t>
  </si>
  <si>
    <t>Custom-714980</t>
  </si>
  <si>
    <t>Dubawnt.Lake</t>
  </si>
  <si>
    <t>Glenevis.AgCM</t>
  </si>
  <si>
    <t>Custom-715000</t>
  </si>
  <si>
    <t>Herschel.Island</t>
  </si>
  <si>
    <t>Custom-715010</t>
  </si>
  <si>
    <t>Pelly.Island</t>
  </si>
  <si>
    <t>Custom-715020</t>
  </si>
  <si>
    <t>Deline.AP</t>
  </si>
  <si>
    <t>Custom-715030</t>
  </si>
  <si>
    <t>Thorsby.AgCM</t>
  </si>
  <si>
    <t>Custom-715040</t>
  </si>
  <si>
    <t>Haines.Junction</t>
  </si>
  <si>
    <t>Custom-715050</t>
  </si>
  <si>
    <t>Rock.River</t>
  </si>
  <si>
    <t>Custom-715060</t>
  </si>
  <si>
    <t>Hawk.Hills.AgCM</t>
  </si>
  <si>
    <t>Custom-715070</t>
  </si>
  <si>
    <t>Toronto.City-Univ.of.Toronto</t>
  </si>
  <si>
    <t>Custom-715080</t>
  </si>
  <si>
    <t>Lethbridge.Demo.Farm.AgDM</t>
  </si>
  <si>
    <t>Custom-715090</t>
  </si>
  <si>
    <t>Rosetown.AP</t>
  </si>
  <si>
    <t>Custom-715100</t>
  </si>
  <si>
    <t>Watrous.East</t>
  </si>
  <si>
    <t>Custom-715110</t>
  </si>
  <si>
    <t>Longue-Pointe-de-Mingan</t>
  </si>
  <si>
    <t>Custom-715120</t>
  </si>
  <si>
    <t>Natashquan.AP</t>
  </si>
  <si>
    <t>Custom-715130</t>
  </si>
  <si>
    <t>Kernen.Crop.Research.Farm</t>
  </si>
  <si>
    <t>Regina.RCS</t>
  </si>
  <si>
    <t>Indian.Head.CDA</t>
  </si>
  <si>
    <t>Custom-715150</t>
  </si>
  <si>
    <t>Coronach</t>
  </si>
  <si>
    <t>Custom-715160</t>
  </si>
  <si>
    <t>Blood.Tribe.AgDM</t>
  </si>
  <si>
    <t>Custom-715170</t>
  </si>
  <si>
    <t>Enchant.AgDM</t>
  </si>
  <si>
    <t>Custom-715180</t>
  </si>
  <si>
    <t>Bow.Island.Irrigation.AgDM</t>
  </si>
  <si>
    <t>Custom-715190</t>
  </si>
  <si>
    <t>Lac.Benoit</t>
  </si>
  <si>
    <t>Custom-715200</t>
  </si>
  <si>
    <t>Manouane.Est</t>
  </si>
  <si>
    <t>Custom-715210</t>
  </si>
  <si>
    <t>Chutes-des-Passes</t>
  </si>
  <si>
    <t>Custom-715220</t>
  </si>
  <si>
    <t>Chamouchouane</t>
  </si>
  <si>
    <t>Custom-715230</t>
  </si>
  <si>
    <t>L-Assomption</t>
  </si>
  <si>
    <t>Custom-715240</t>
  </si>
  <si>
    <t>Seven.Persons.AgDM</t>
  </si>
  <si>
    <t>Custom-715250</t>
  </si>
  <si>
    <t>Strathmore.AgDM</t>
  </si>
  <si>
    <t>Custom-715260</t>
  </si>
  <si>
    <t>Dryden.Rgnl.AP</t>
  </si>
  <si>
    <t>Custom-715270</t>
  </si>
  <si>
    <t>Simcoe</t>
  </si>
  <si>
    <t>Iron.Springs.AgDM</t>
  </si>
  <si>
    <t>Custom-715280</t>
  </si>
  <si>
    <t>Lutselke.AP</t>
  </si>
  <si>
    <t>Custom-715290</t>
  </si>
  <si>
    <t>Muskoka.AP</t>
  </si>
  <si>
    <t>Custom-715320</t>
  </si>
  <si>
    <t>CFB.Borden</t>
  </si>
  <si>
    <t>Custom-715340</t>
  </si>
  <si>
    <t>Fincastle.AgDM</t>
  </si>
  <si>
    <t>Custom-715350</t>
  </si>
  <si>
    <t>Raymond.AgDM</t>
  </si>
  <si>
    <t>Custom-715360</t>
  </si>
  <si>
    <t>Rosemary.AgDM</t>
  </si>
  <si>
    <t>Custom-715370</t>
  </si>
  <si>
    <t>Windsor.Intl.AP</t>
  </si>
  <si>
    <t>Custom-715380</t>
  </si>
  <si>
    <t>CFB.Moose.Jaw</t>
  </si>
  <si>
    <t>Custom-715390</t>
  </si>
  <si>
    <t>Hespero.AgCM</t>
  </si>
  <si>
    <t>Custom-715400</t>
  </si>
  <si>
    <t>Jean.Cote.AgCM</t>
  </si>
  <si>
    <t>Custom-715410</t>
  </si>
  <si>
    <t>La.Crete.AP.AgCM</t>
  </si>
  <si>
    <t>Custom-715420</t>
  </si>
  <si>
    <t>La.Glace.AgCM</t>
  </si>
  <si>
    <t>Custom-715430</t>
  </si>
  <si>
    <t>Legal.AgCM</t>
  </si>
  <si>
    <t>Custom-715440</t>
  </si>
  <si>
    <t>Radway.AgCM</t>
  </si>
  <si>
    <t>Custom-715450</t>
  </si>
  <si>
    <t>Rycroft.AgCM</t>
  </si>
  <si>
    <t>Custom-715460</t>
  </si>
  <si>
    <t>Savanna.AgCM</t>
  </si>
  <si>
    <t>Custom-715470</t>
  </si>
  <si>
    <t>St.Lina.AgCM</t>
  </si>
  <si>
    <t>Custom-715480</t>
  </si>
  <si>
    <t>Tawatinaw.AgCM</t>
  </si>
  <si>
    <t>Custom-715490</t>
  </si>
  <si>
    <t>Dauphin.CS</t>
  </si>
  <si>
    <t>Custom-715500</t>
  </si>
  <si>
    <t>Outlook</t>
  </si>
  <si>
    <t>Custom-715510</t>
  </si>
  <si>
    <t>Victoria.Beach</t>
  </si>
  <si>
    <t>Custom-715520</t>
  </si>
  <si>
    <t>Roblin</t>
  </si>
  <si>
    <t>Custom-715530</t>
  </si>
  <si>
    <t>Pointe.au.Pere</t>
  </si>
  <si>
    <t>Custom-715540</t>
  </si>
  <si>
    <t>Stavely.AAFC</t>
  </si>
  <si>
    <t>Custom-715550</t>
  </si>
  <si>
    <t>Last.Mountain.Lake.Natl.Wildlife.Area</t>
  </si>
  <si>
    <t>Custom-715560</t>
  </si>
  <si>
    <t>Merritt</t>
  </si>
  <si>
    <t>Custom-715570</t>
  </si>
  <si>
    <t>St.Anthony.AP.AWOS</t>
  </si>
  <si>
    <t>Custom-715580</t>
  </si>
  <si>
    <t>Estevan.RCS</t>
  </si>
  <si>
    <t>Emerson</t>
  </si>
  <si>
    <t>Custom-715600</t>
  </si>
  <si>
    <t>Delta.Marsh</t>
  </si>
  <si>
    <t>Custom-715630</t>
  </si>
  <si>
    <t>Morden.CDA.CS</t>
  </si>
  <si>
    <t>Custom-715640</t>
  </si>
  <si>
    <t>Leedale.AgDM</t>
  </si>
  <si>
    <t>Custom-715650</t>
  </si>
  <si>
    <t>Tomahawk.AgDM</t>
  </si>
  <si>
    <t>Custom-715660</t>
  </si>
  <si>
    <t>Lindbergh.AgDM</t>
  </si>
  <si>
    <t>Custom-715670</t>
  </si>
  <si>
    <t>Fanny.Island</t>
  </si>
  <si>
    <t>Custom-715680</t>
  </si>
  <si>
    <t>Bratts.Lake.CS</t>
  </si>
  <si>
    <t>Custom-715690</t>
  </si>
  <si>
    <t>Great.Falls.CS</t>
  </si>
  <si>
    <t>Custom-715700</t>
  </si>
  <si>
    <t>Spirit.River.Stn</t>
  </si>
  <si>
    <t>Custom-715710</t>
  </si>
  <si>
    <t>Kelsey.Dam.AP.CS</t>
  </si>
  <si>
    <t>Custom-715720</t>
  </si>
  <si>
    <t>Delhi.CS</t>
  </si>
  <si>
    <t>Custom-715730</t>
  </si>
  <si>
    <t>Bathurst.Rgnl.AP</t>
  </si>
  <si>
    <t>Custom-715740</t>
  </si>
  <si>
    <t>Cape.Dorset.CS</t>
  </si>
  <si>
    <t>Pond.Inlet.CS</t>
  </si>
  <si>
    <t>Gimli.Harbour</t>
  </si>
  <si>
    <t>Custom-715770</t>
  </si>
  <si>
    <t>Quebec.City-Beauport</t>
  </si>
  <si>
    <t>Custom-715780</t>
  </si>
  <si>
    <t>Winnipeg.The.Forks</t>
  </si>
  <si>
    <t>Custom-715790</t>
  </si>
  <si>
    <t>Taloyoak.AP</t>
  </si>
  <si>
    <t>Custom-715800</t>
  </si>
  <si>
    <t>Algonquin.Park.East.Gate</t>
  </si>
  <si>
    <t>Custom-715810</t>
  </si>
  <si>
    <t>Bella.Bella.AP</t>
  </si>
  <si>
    <t>Custom-715820</t>
  </si>
  <si>
    <t>Qavvik.Lake</t>
  </si>
  <si>
    <t>Havre-St.Pierre.AP</t>
  </si>
  <si>
    <t>Custom-715840</t>
  </si>
  <si>
    <t>Fort.McMurray.AP</t>
  </si>
  <si>
    <t>Custom-715850</t>
  </si>
  <si>
    <t>La.Ronge.RCS</t>
  </si>
  <si>
    <t>Sandy.Lake.AP</t>
  </si>
  <si>
    <t>Custom-715870</t>
  </si>
  <si>
    <t>Rocky.Harbour</t>
  </si>
  <si>
    <t>Custom-715880</t>
  </si>
  <si>
    <t>Terra.Nova.Natl.Park</t>
  </si>
  <si>
    <t>Custom-715890</t>
  </si>
  <si>
    <t>Edmunston</t>
  </si>
  <si>
    <t>Custom-715900</t>
  </si>
  <si>
    <t>Malay.Falls</t>
  </si>
  <si>
    <t>Custom-715901</t>
  </si>
  <si>
    <t>McNabs.Island</t>
  </si>
  <si>
    <t>Custom-715910</t>
  </si>
  <si>
    <t>Arctic.Bay.CS</t>
  </si>
  <si>
    <t>Custom-715920</t>
  </si>
  <si>
    <t>Gjoa.Haven.AP</t>
  </si>
  <si>
    <t>Custom-715970</t>
  </si>
  <si>
    <t>Grand.Etang</t>
  </si>
  <si>
    <t>Custom-715971</t>
  </si>
  <si>
    <t>Bas.Caraquet</t>
  </si>
  <si>
    <t>Custom-715980</t>
  </si>
  <si>
    <t>Kejimkujik.Natl.Park</t>
  </si>
  <si>
    <t>Custom-715990</t>
  </si>
  <si>
    <t>Sable.Island.Natl.Park</t>
  </si>
  <si>
    <t>Custom-716000</t>
  </si>
  <si>
    <t>CFB.Shearwater</t>
  </si>
  <si>
    <t>Custom-716010</t>
  </si>
  <si>
    <t>Yarmouth.Intl.AP</t>
  </si>
  <si>
    <t>Custom-716030</t>
  </si>
  <si>
    <t>North.Mountain</t>
  </si>
  <si>
    <t>Custom-716040</t>
  </si>
  <si>
    <t>Port.Mellon</t>
  </si>
  <si>
    <t>Custom-716050</t>
  </si>
  <si>
    <t>St.Stephen.AP</t>
  </si>
  <si>
    <t>Custom-716070</t>
  </si>
  <si>
    <t>Saint.John.AP</t>
  </si>
  <si>
    <t>Custom-716090</t>
  </si>
  <si>
    <t>Sherbrooke.AP</t>
  </si>
  <si>
    <t>Custom-716100</t>
  </si>
  <si>
    <t>Lennoxville</t>
  </si>
  <si>
    <t>Custom-716110</t>
  </si>
  <si>
    <t>Montreal.Center-Jean.Brebeuf-McGill.Univ-McTavish</t>
  </si>
  <si>
    <t>Custom-716120</t>
  </si>
  <si>
    <t>Ste.Clothilde.des.Chateauguay</t>
  </si>
  <si>
    <t>Custom-716140</t>
  </si>
  <si>
    <t>Lemieux</t>
  </si>
  <si>
    <t>Custom-716160</t>
  </si>
  <si>
    <t>Jonquiere</t>
  </si>
  <si>
    <t>Custom-716170</t>
  </si>
  <si>
    <t>Churchill.AP</t>
  </si>
  <si>
    <t>Custom-716180</t>
  </si>
  <si>
    <t>New.Carlisle</t>
  </si>
  <si>
    <t>Custom-716190</t>
  </si>
  <si>
    <t>CFB.Trenton</t>
  </si>
  <si>
    <t>Custom-716210</t>
  </si>
  <si>
    <t>London.Intl.AP.CS</t>
  </si>
  <si>
    <t>Custom-716230</t>
  </si>
  <si>
    <t>Toronto-Pearson.Intl.AP</t>
  </si>
  <si>
    <t>Custom-716240</t>
  </si>
  <si>
    <t>Petawawa.AP</t>
  </si>
  <si>
    <t>Custom-716250</t>
  </si>
  <si>
    <t>Trent.Hills</t>
  </si>
  <si>
    <t>Montreal-Trudeau.Intl.AP</t>
  </si>
  <si>
    <t>Custom-716270</t>
  </si>
  <si>
    <t>Gatineau-Ottawa.Exec.AP</t>
  </si>
  <si>
    <t>Custom-716279</t>
  </si>
  <si>
    <t>Ottawa-Macdonald-Cartier.Intl.AP</t>
  </si>
  <si>
    <t>Custom-716280</t>
  </si>
  <si>
    <t>Fort.Ross</t>
  </si>
  <si>
    <t>Custom-716290</t>
  </si>
  <si>
    <t>Mount.Forest</t>
  </si>
  <si>
    <t>Custom-716310</t>
  </si>
  <si>
    <t>Lynn.Lake.RCS</t>
  </si>
  <si>
    <t>Wiarton.Keppel.Intl.AP</t>
  </si>
  <si>
    <t>Custom-716330</t>
  </si>
  <si>
    <t>Red.Pines</t>
  </si>
  <si>
    <t>Custom-716340</t>
  </si>
  <si>
    <t>Campsie</t>
  </si>
  <si>
    <t>Ranfurly</t>
  </si>
  <si>
    <t>Sechelt.AP</t>
  </si>
  <si>
    <t>Custom-716380</t>
  </si>
  <si>
    <t>Toronto-Buttonville.Muni.AP</t>
  </si>
  <si>
    <t>Custom-716390</t>
  </si>
  <si>
    <t>Lake.Superior.Prov.Park</t>
  </si>
  <si>
    <t>Chapleau.AP</t>
  </si>
  <si>
    <t>Custom-716420</t>
  </si>
  <si>
    <t>Fredericton.Aquatic.Centre</t>
  </si>
  <si>
    <t>Custom-716445</t>
  </si>
  <si>
    <t>Waseca.RCS</t>
  </si>
  <si>
    <t>Buctouche.CDA.CS</t>
  </si>
  <si>
    <t>Custom-716660</t>
  </si>
  <si>
    <t>Thunder.Bay.Intl.AP</t>
  </si>
  <si>
    <t>Custom-716670</t>
  </si>
  <si>
    <t>Fredericton.CDA.CS</t>
  </si>
  <si>
    <t>Custom-716680</t>
  </si>
  <si>
    <t>Pekisko</t>
  </si>
  <si>
    <t>Custom-716690</t>
  </si>
  <si>
    <t>Kouchibouguac.CS</t>
  </si>
  <si>
    <t>Custom-716700</t>
  </si>
  <si>
    <t>Kentville.CDA.CS</t>
  </si>
  <si>
    <t>Custom-716710</t>
  </si>
  <si>
    <t>Peterborough-Trent.Univ</t>
  </si>
  <si>
    <t>Custom-716720</t>
  </si>
  <si>
    <t>Ferintosh.AgCM</t>
  </si>
  <si>
    <t>Custom-716730</t>
  </si>
  <si>
    <t>Forestburg.AgCM</t>
  </si>
  <si>
    <t>Custom-716740</t>
  </si>
  <si>
    <t>Custom-716750</t>
  </si>
  <si>
    <t>Muskrat.Dam.AP</t>
  </si>
  <si>
    <t>Custom-716780</t>
  </si>
  <si>
    <t>Ootsa.Lake-Skins.Lake</t>
  </si>
  <si>
    <t>Custom-716790</t>
  </si>
  <si>
    <t>Lower.Carp.Lake</t>
  </si>
  <si>
    <t>Custom-716800</t>
  </si>
  <si>
    <t>Ashcroft</t>
  </si>
  <si>
    <t>Custom-716810</t>
  </si>
  <si>
    <t>Lindburg.Landing</t>
  </si>
  <si>
    <t>Custom-716820</t>
  </si>
  <si>
    <t>Trail.Valley.Res.Stn</t>
  </si>
  <si>
    <t>Custom-716830</t>
  </si>
  <si>
    <t>Earlton-Timiskaming.Rgnl.AP</t>
  </si>
  <si>
    <t>Custom-716840</t>
  </si>
  <si>
    <t>Whistler-Nesters</t>
  </si>
  <si>
    <t>Custom-716870</t>
  </si>
  <si>
    <t>Callaghan.Valley-Whistler.Olympic.Park.Ski.Resort</t>
  </si>
  <si>
    <t>Custom-716880</t>
  </si>
  <si>
    <t>Teepee.Creek.AgCM</t>
  </si>
  <si>
    <t>Custom-716900</t>
  </si>
  <si>
    <t>Baie-Comeau.AP</t>
  </si>
  <si>
    <t>Custom-716910</t>
  </si>
  <si>
    <t>Marticot.Island</t>
  </si>
  <si>
    <t>Custom-716920</t>
  </si>
  <si>
    <t>Beatrice.CS</t>
  </si>
  <si>
    <t>Custom-716940</t>
  </si>
  <si>
    <t>The.Pas.CS</t>
  </si>
  <si>
    <t>Churchill.CS</t>
  </si>
  <si>
    <t>Oshawa.Muni.AP</t>
  </si>
  <si>
    <t>Custom-716970</t>
  </si>
  <si>
    <t>Point.Lepreau</t>
  </si>
  <si>
    <t>Custom-716990</t>
  </si>
  <si>
    <t>Fredericton.Intl.AP</t>
  </si>
  <si>
    <t>Custom-717000</t>
  </si>
  <si>
    <t>CFB.Gagetown</t>
  </si>
  <si>
    <t>Custom-717010</t>
  </si>
  <si>
    <t>Summerside.AP</t>
  </si>
  <si>
    <t>Custom-717020</t>
  </si>
  <si>
    <t>Sarnia-Hadfield.AP</t>
  </si>
  <si>
    <t>Custom-717040</t>
  </si>
  <si>
    <t>Moncton-Greater.Moncton.LeBlanc.Intl.AP</t>
  </si>
  <si>
    <t>Custom-717050</t>
  </si>
  <si>
    <t>Charlottetown.AP</t>
  </si>
  <si>
    <t>Custom-717060</t>
  </si>
  <si>
    <t>Sydney-McCurdy.AP</t>
  </si>
  <si>
    <t>Custom-717070</t>
  </si>
  <si>
    <t>Inverness</t>
  </si>
  <si>
    <t>Iles.de.la.Madeleine.AP</t>
  </si>
  <si>
    <t>Custom-717100</t>
  </si>
  <si>
    <t>St.Anicet</t>
  </si>
  <si>
    <t>Custom-717120</t>
  </si>
  <si>
    <t>La.Pocatiere</t>
  </si>
  <si>
    <t>Custom-717130</t>
  </si>
  <si>
    <t>Charlevoix.AP</t>
  </si>
  <si>
    <t>Quebec-Lesage.Intl.AP</t>
  </si>
  <si>
    <t>Custom-717140</t>
  </si>
  <si>
    <t>Riviere-du-Loup</t>
  </si>
  <si>
    <t>Custom-717150</t>
  </si>
  <si>
    <t>Valcartier.AP</t>
  </si>
  <si>
    <t>Custom-717160</t>
  </si>
  <si>
    <t>Mont.Joli.AP</t>
  </si>
  <si>
    <t>Custom-717180</t>
  </si>
  <si>
    <t>Miscou.Island.Lighthouse</t>
  </si>
  <si>
    <t>Custom-717190</t>
  </si>
  <si>
    <t>Powell.River.AP</t>
  </si>
  <si>
    <t>Custom-717200</t>
  </si>
  <si>
    <t>Maniwaki.AP</t>
  </si>
  <si>
    <t>Custom-717210</t>
  </si>
  <si>
    <t>Nicolet</t>
  </si>
  <si>
    <t>Custom-717230</t>
  </si>
  <si>
    <t>Trois.Rivieres</t>
  </si>
  <si>
    <t>Custom-717240</t>
  </si>
  <si>
    <t>Val-d-Or.Rgnl.AP</t>
  </si>
  <si>
    <t>Custom-717250</t>
  </si>
  <si>
    <t>Rouyn-Noranda.AP</t>
  </si>
  <si>
    <t>Custom-717255</t>
  </si>
  <si>
    <t>Parent</t>
  </si>
  <si>
    <t>Custom-717260</t>
  </si>
  <si>
    <t>Saguenay-Bagotville.AP-CFB.Bagotville</t>
  </si>
  <si>
    <t>Custom-717270</t>
  </si>
  <si>
    <t>Roberval.AP</t>
  </si>
  <si>
    <t>Custom-717280</t>
  </si>
  <si>
    <t>Sudbury.AP</t>
  </si>
  <si>
    <t>Custom-717300</t>
  </si>
  <si>
    <t>North.Bay-Garland.AP</t>
  </si>
  <si>
    <t>Custom-717310</t>
  </si>
  <si>
    <t>Barrage-Temiscamingue</t>
  </si>
  <si>
    <t>Custom-717320</t>
  </si>
  <si>
    <t>Elliot.Lake.AP</t>
  </si>
  <si>
    <t>Custom-717334</t>
  </si>
  <si>
    <t>Rouyn-Noranda</t>
  </si>
  <si>
    <t>Custom-717340</t>
  </si>
  <si>
    <t>Pincher.Creek.CS</t>
  </si>
  <si>
    <t>Roquemaure</t>
  </si>
  <si>
    <t>Royal.Island</t>
  </si>
  <si>
    <t>Custom-717366</t>
  </si>
  <si>
    <t>Northeast.Margaree</t>
  </si>
  <si>
    <t>Custom-717367</t>
  </si>
  <si>
    <t>Saint.Michel.des.Saints</t>
  </si>
  <si>
    <t>Custom-717370</t>
  </si>
  <si>
    <t>Wawa.Muni.AP</t>
  </si>
  <si>
    <t>Custom-717380</t>
  </si>
  <si>
    <t>Timmins-Power.AP</t>
  </si>
  <si>
    <t>Custom-717390</t>
  </si>
  <si>
    <t>Riviere.Aux.Feuilles</t>
  </si>
  <si>
    <t>Custom-717430</t>
  </si>
  <si>
    <t>Miramichi.AP.RCS</t>
  </si>
  <si>
    <t>Custom-717440</t>
  </si>
  <si>
    <t>Sarnia.CS</t>
  </si>
  <si>
    <t>Atikokan</t>
  </si>
  <si>
    <t>Custom-717470</t>
  </si>
  <si>
    <t>Gimli.Industrial.Park.AP</t>
  </si>
  <si>
    <t>Custom-717480</t>
  </si>
  <si>
    <t>Terrace.Bay.AP</t>
  </si>
  <si>
    <t>Pukaskwa.Natl.Park</t>
  </si>
  <si>
    <t>Custom-717500</t>
  </si>
  <si>
    <t>Welcome.Island.Lighthouse</t>
  </si>
  <si>
    <t>Custom-717510</t>
  </si>
  <si>
    <t>Welland-Niagara.Central-Rungeling.AP</t>
  </si>
  <si>
    <t>Custom-717520</t>
  </si>
  <si>
    <t>Upper.Stewiacke.RCS</t>
  </si>
  <si>
    <t>Custom-717530</t>
  </si>
  <si>
    <t>North.Battleford.RCS</t>
  </si>
  <si>
    <t>Blackcomb.Base.Sliding.Centre</t>
  </si>
  <si>
    <t>Custom-717560</t>
  </si>
  <si>
    <t>Big.Creek</t>
  </si>
  <si>
    <t>Vilna.AgCM</t>
  </si>
  <si>
    <t>Custom-717610</t>
  </si>
  <si>
    <t>Lytton.RCS</t>
  </si>
  <si>
    <t>Custom-717650</t>
  </si>
  <si>
    <t>Qualicum.Beach.AP</t>
  </si>
  <si>
    <t>Custom-717660</t>
  </si>
  <si>
    <t>Tobermory.RCS</t>
  </si>
  <si>
    <t>Custom-717670</t>
  </si>
  <si>
    <t>Summerland.CS</t>
  </si>
  <si>
    <t>Custom-717680</t>
  </si>
  <si>
    <t>Ballenas.Island</t>
  </si>
  <si>
    <t>Custom-717690</t>
  </si>
  <si>
    <t>Creston</t>
  </si>
  <si>
    <t>Custom-717700</t>
  </si>
  <si>
    <t>Cumshewa.Island</t>
  </si>
  <si>
    <t>Custom-717710</t>
  </si>
  <si>
    <t>Entrance.Island.CS</t>
  </si>
  <si>
    <t>Custom-717720</t>
  </si>
  <si>
    <t>Malahat</t>
  </si>
  <si>
    <t>Custom-717740</t>
  </si>
  <si>
    <t>Pitt.Meadows.Rgnl.AP</t>
  </si>
  <si>
    <t>Custom-717750</t>
  </si>
  <si>
    <t>Nelson.AP</t>
  </si>
  <si>
    <t>Custom-717760</t>
  </si>
  <si>
    <t>Pemberton.Rgnl.AP</t>
  </si>
  <si>
    <t>Custom-717770</t>
  </si>
  <si>
    <t>Race.Rocks.Lighthouse</t>
  </si>
  <si>
    <t>Custom-717780</t>
  </si>
  <si>
    <t>Quesnel.AP</t>
  </si>
  <si>
    <t>Custom-717790</t>
  </si>
  <si>
    <t>Sheringham.Point.Lighthouse</t>
  </si>
  <si>
    <t>Custom-717800</t>
  </si>
  <si>
    <t>Sisters.Island</t>
  </si>
  <si>
    <t>Custom-717810</t>
  </si>
  <si>
    <t>Sparwood.CS</t>
  </si>
  <si>
    <t>Custom-717820</t>
  </si>
  <si>
    <t>Victoria-Univ.of.Victoria</t>
  </si>
  <si>
    <t>Custom-717830</t>
  </si>
  <si>
    <t>West.Vancouver</t>
  </si>
  <si>
    <t>Custom-717840</t>
  </si>
  <si>
    <t>White.Rock</t>
  </si>
  <si>
    <t>Custom-717850</t>
  </si>
  <si>
    <t>Yoho.Natl.Park</t>
  </si>
  <si>
    <t>Custom-717860</t>
  </si>
  <si>
    <t>Mechanic.Settlement.RCS</t>
  </si>
  <si>
    <t>Custom-717870</t>
  </si>
  <si>
    <t>Grassy.Lake</t>
  </si>
  <si>
    <t>Custom-717880</t>
  </si>
  <si>
    <t>Fort.Macleod.AgCM</t>
  </si>
  <si>
    <t>Custom-717890</t>
  </si>
  <si>
    <t>Gilt.Edge.North.AgCM</t>
  </si>
  <si>
    <t>Custom-717910</t>
  </si>
  <si>
    <t>Halkirk.AgCM</t>
  </si>
  <si>
    <t>Custom-717920</t>
  </si>
  <si>
    <t>Hemaruka.AgCM</t>
  </si>
  <si>
    <t>Custom-717930</t>
  </si>
  <si>
    <t>Hughenden.AgCM</t>
  </si>
  <si>
    <t>Custom-717940</t>
  </si>
  <si>
    <t>Irvine.AgCM</t>
  </si>
  <si>
    <t>Custom-717950</t>
  </si>
  <si>
    <t>Kessler.AgCM</t>
  </si>
  <si>
    <t>Custom-717960</t>
  </si>
  <si>
    <t>Kitscoty.AgCM</t>
  </si>
  <si>
    <t>Custom-717970</t>
  </si>
  <si>
    <t>Esquimalt.Harbour</t>
  </si>
  <si>
    <t>Custom-717980</t>
  </si>
  <si>
    <t>Victoria.Intl.AP</t>
  </si>
  <si>
    <t>Custom-717990</t>
  </si>
  <si>
    <t>Cape.Race</t>
  </si>
  <si>
    <t>Custom-718000</t>
  </si>
  <si>
    <t>St.Johns.Intl.AP</t>
  </si>
  <si>
    <t>Custom-718010</t>
  </si>
  <si>
    <t>Gander.Intl.AP-CFB.Gander</t>
  </si>
  <si>
    <t>Custom-718030</t>
  </si>
  <si>
    <t>Argentia</t>
  </si>
  <si>
    <t>Custom-718070</t>
  </si>
  <si>
    <t>Lourdes-de-Blanc-Sablon.AP</t>
  </si>
  <si>
    <t>Custom-718080</t>
  </si>
  <si>
    <t>Deer.Lake.Rgnl.AP</t>
  </si>
  <si>
    <t>Custom-718090</t>
  </si>
  <si>
    <t>Port-Menier.AP</t>
  </si>
  <si>
    <t>Custom-718100</t>
  </si>
  <si>
    <t>Havre-St.Pierre</t>
  </si>
  <si>
    <t>Sept-Iles.AP</t>
  </si>
  <si>
    <t>Custom-718110</t>
  </si>
  <si>
    <t>Nemiscau.AP</t>
  </si>
  <si>
    <t>Chevery.AP</t>
  </si>
  <si>
    <t>Custom-718140</t>
  </si>
  <si>
    <t>Stephenville.Intl.AP</t>
  </si>
  <si>
    <t>Custom-718150</t>
  </si>
  <si>
    <t>Goose.Bay.AP-CFB.Goose.Bay</t>
  </si>
  <si>
    <t>Custom-718160</t>
  </si>
  <si>
    <t>Battle.Harbour</t>
  </si>
  <si>
    <t>Cartwright.AP</t>
  </si>
  <si>
    <t>Custom-718180</t>
  </si>
  <si>
    <t>St.Anthony.AP</t>
  </si>
  <si>
    <t>Custom-718190</t>
  </si>
  <si>
    <t>Kingston.AP</t>
  </si>
  <si>
    <t>Custom-718200</t>
  </si>
  <si>
    <t>Matagami.AP</t>
  </si>
  <si>
    <t>Custom-718210</t>
  </si>
  <si>
    <t>Chibougamau-Chapais.AP</t>
  </si>
  <si>
    <t>Custom-718220</t>
  </si>
  <si>
    <t>Chapais</t>
  </si>
  <si>
    <t>Custom-718240</t>
  </si>
  <si>
    <t>Gagnon.AP</t>
  </si>
  <si>
    <t>Wabush.AP</t>
  </si>
  <si>
    <t>Custom-718250</t>
  </si>
  <si>
    <t>Pangnirtung.AP</t>
  </si>
  <si>
    <t>Custom-718260</t>
  </si>
  <si>
    <t>La.Grande.Riviere.AP</t>
  </si>
  <si>
    <t>Custom-718270</t>
  </si>
  <si>
    <t>La.Grande.3.AP</t>
  </si>
  <si>
    <t>Schefferville.AP</t>
  </si>
  <si>
    <t>Custom-718280</t>
  </si>
  <si>
    <t>Baie-Comeau</t>
  </si>
  <si>
    <t>Custom-718290</t>
  </si>
  <si>
    <t>Kapuskasing.AP</t>
  </si>
  <si>
    <t>Custom-718310</t>
  </si>
  <si>
    <t>Nagagami</t>
  </si>
  <si>
    <t>Custom-718320</t>
  </si>
  <si>
    <t>Guelph.Turfgrass.Inst</t>
  </si>
  <si>
    <t>Custom-718330</t>
  </si>
  <si>
    <t>Geraldton-Greenstone.Rgnl.AP</t>
  </si>
  <si>
    <t>Custom-718340</t>
  </si>
  <si>
    <t>Moosonee.AP.AWRS</t>
  </si>
  <si>
    <t>Custom-718360</t>
  </si>
  <si>
    <t>St.Mary.Reservoir</t>
  </si>
  <si>
    <t>Custom-718370</t>
  </si>
  <si>
    <t>Bullhorn.Coulee.Reservoir</t>
  </si>
  <si>
    <t>Custom-718390</t>
  </si>
  <si>
    <t>Deerwood.RCS</t>
  </si>
  <si>
    <t>Custom-718400</t>
  </si>
  <si>
    <t>Armstrong.AP</t>
  </si>
  <si>
    <t>Custom-718410</t>
  </si>
  <si>
    <t>Sioux.Lookout.Muni.AP</t>
  </si>
  <si>
    <t>Custom-718420</t>
  </si>
  <si>
    <t>Chesterfield.Inlet.AP</t>
  </si>
  <si>
    <t>Custom-718429</t>
  </si>
  <si>
    <t>Kangiqsujuaq.AP</t>
  </si>
  <si>
    <t>Custom-718431</t>
  </si>
  <si>
    <t>Akulivik.AP</t>
  </si>
  <si>
    <t>Custom-718432</t>
  </si>
  <si>
    <t>Aupaluka</t>
  </si>
  <si>
    <t>Custom-718433</t>
  </si>
  <si>
    <t>Wemindji.AP</t>
  </si>
  <si>
    <t>Suffield.AP</t>
  </si>
  <si>
    <t>Salluit.AP</t>
  </si>
  <si>
    <t>Custom-718442</t>
  </si>
  <si>
    <t>Eastmain.River.AP</t>
  </si>
  <si>
    <t>Pickle.Lake.AP</t>
  </si>
  <si>
    <t>Custom-718450</t>
  </si>
  <si>
    <t>Lansdowne.House.AP</t>
  </si>
  <si>
    <t>Custom-718460</t>
  </si>
  <si>
    <t>Travers.AgCM</t>
  </si>
  <si>
    <t>Custom-718480</t>
  </si>
  <si>
    <t>Kenora.AP</t>
  </si>
  <si>
    <t>Custom-718500</t>
  </si>
  <si>
    <t>Portage-Southport.AP</t>
  </si>
  <si>
    <t>Custom-718510</t>
  </si>
  <si>
    <t>Winnipeg-Richardson.Intl.AP</t>
  </si>
  <si>
    <t>Custom-718520</t>
  </si>
  <si>
    <t>Shilo.Heli-Flewin.Field</t>
  </si>
  <si>
    <t>Red.Lake.AP</t>
  </si>
  <si>
    <t>Custom-718540</t>
  </si>
  <si>
    <t>Rawson.Lake-ELA.Field.Stn</t>
  </si>
  <si>
    <t>Tulliby.Lake.AgCM</t>
  </si>
  <si>
    <t>Custom-718570</t>
  </si>
  <si>
    <t>Wabowden</t>
  </si>
  <si>
    <t>Grand.Rapids</t>
  </si>
  <si>
    <t>Custom-718580</t>
  </si>
  <si>
    <t>Calgary-Springbank.AP</t>
  </si>
  <si>
    <t>Custom-718600</t>
  </si>
  <si>
    <t>Wheatland-Rivers.AP</t>
  </si>
  <si>
    <t>Broadview</t>
  </si>
  <si>
    <t>Custom-718610</t>
  </si>
  <si>
    <t>Estevan.Rgnl.AP</t>
  </si>
  <si>
    <t>Custom-718620</t>
  </si>
  <si>
    <t>Regina.Intl.AP</t>
  </si>
  <si>
    <t>Custom-718630</t>
  </si>
  <si>
    <t>Wynyard</t>
  </si>
  <si>
    <t>Custom-718650</t>
  </si>
  <si>
    <t>Saskatoon-Diefenbaker.Intl.AP</t>
  </si>
  <si>
    <t>Custom-718660</t>
  </si>
  <si>
    <t>The.Pas.AP</t>
  </si>
  <si>
    <t>Custom-718670</t>
  </si>
  <si>
    <t>Hudson.Bay.AP</t>
  </si>
  <si>
    <t>Custom-718680</t>
  </si>
  <si>
    <t>Prince.Albert.AP</t>
  </si>
  <si>
    <t>Custom-718690</t>
  </si>
  <si>
    <t>Lloydminster.AP</t>
  </si>
  <si>
    <t>Custom-718710</t>
  </si>
  <si>
    <t>Vermilion.AP</t>
  </si>
  <si>
    <t>Svartevaeg</t>
  </si>
  <si>
    <t>Custom-718720</t>
  </si>
  <si>
    <t>Bathurst.Inlet</t>
  </si>
  <si>
    <t>Custom-718740</t>
  </si>
  <si>
    <t>North.Battleford.AP</t>
  </si>
  <si>
    <t>Custom-718760</t>
  </si>
  <si>
    <t>Calgary.Intl.AP</t>
  </si>
  <si>
    <t>Custom-718770</t>
  </si>
  <si>
    <t>Red.Deer.Rgnl.AP</t>
  </si>
  <si>
    <t>Custom-718780</t>
  </si>
  <si>
    <t>Cranbrook-Canadian.Rockies.Intl.AP</t>
  </si>
  <si>
    <t>Custom-718800</t>
  </si>
  <si>
    <t>Edson.AP</t>
  </si>
  <si>
    <t>Custom-718810</t>
  </si>
  <si>
    <t>Revelstoke.AP</t>
  </si>
  <si>
    <t>Custom-718820</t>
  </si>
  <si>
    <t>Blue.River.CS</t>
  </si>
  <si>
    <t>Custom-718830</t>
  </si>
  <si>
    <t>Castlegar-West.Kootenay.Rgnl.AP-Yarmouth.RCS</t>
  </si>
  <si>
    <t>Custom-718840</t>
  </si>
  <si>
    <t>Glenwood</t>
  </si>
  <si>
    <t>Custom-718850</t>
  </si>
  <si>
    <t>Yorkton.RCS</t>
  </si>
  <si>
    <t>Kamloops.AP</t>
  </si>
  <si>
    <t>Custom-718870</t>
  </si>
  <si>
    <t>Viking.AgCM</t>
  </si>
  <si>
    <t>Custom-718880</t>
  </si>
  <si>
    <t>Penticton.Rgnl.AP</t>
  </si>
  <si>
    <t>Custom-718890</t>
  </si>
  <si>
    <t>Nanaimo.AP</t>
  </si>
  <si>
    <t>Custom-718900</t>
  </si>
  <si>
    <t>Hope.Slide</t>
  </si>
  <si>
    <t>Cape.Mudge.Lighthouse</t>
  </si>
  <si>
    <t>Vancouver.Intl.AP</t>
  </si>
  <si>
    <t>Custom-718920</t>
  </si>
  <si>
    <t>Comox.Valley.AP-CFB.Comox.Valley</t>
  </si>
  <si>
    <t>Custom-718930</t>
  </si>
  <si>
    <t>Campbell.River.AP</t>
  </si>
  <si>
    <t>Custom-718936</t>
  </si>
  <si>
    <t>Chatham.Point.Lighthouse</t>
  </si>
  <si>
    <t>Estevan.Point.AP</t>
  </si>
  <si>
    <t>Custom-718940</t>
  </si>
  <si>
    <t>Wetaskiwin.AgCM</t>
  </si>
  <si>
    <t>Custom-718950</t>
  </si>
  <si>
    <t>Holberg</t>
  </si>
  <si>
    <t>Prince.George.Intl.AP</t>
  </si>
  <si>
    <t>Custom-718960</t>
  </si>
  <si>
    <t>Fort.Rupert-Waskaganish.AP</t>
  </si>
  <si>
    <t>Custom-718964</t>
  </si>
  <si>
    <t>McInnes.Island</t>
  </si>
  <si>
    <t>Custom-718970</t>
  </si>
  <si>
    <t>Hopedale.AP</t>
  </si>
  <si>
    <t>Custom-719000</t>
  </si>
  <si>
    <t>Border</t>
  </si>
  <si>
    <t>Nain.AP</t>
  </si>
  <si>
    <t>Custom-719020</t>
  </si>
  <si>
    <t>Langara.Island.RCS</t>
  </si>
  <si>
    <t>Custom-719030</t>
  </si>
  <si>
    <t>Quaqtaq.AP</t>
  </si>
  <si>
    <t>Custom-719035</t>
  </si>
  <si>
    <t>Wimborne.AgCM</t>
  </si>
  <si>
    <t>Custom-719040</t>
  </si>
  <si>
    <t>Kangirsuk.AP</t>
  </si>
  <si>
    <t>Custom-719043</t>
  </si>
  <si>
    <t>Umiujaq.AP</t>
  </si>
  <si>
    <t>Custom-719053</t>
  </si>
  <si>
    <t>Kuujjuaq.AP</t>
  </si>
  <si>
    <t>Custom-719060</t>
  </si>
  <si>
    <t>Tasiujaq.AP</t>
  </si>
  <si>
    <t>Custom-719064</t>
  </si>
  <si>
    <t>Inukjuak.AP</t>
  </si>
  <si>
    <t>Custom-719070</t>
  </si>
  <si>
    <t>Ivujivik.AP</t>
  </si>
  <si>
    <t>Custom-719074</t>
  </si>
  <si>
    <t>Puvirnituq.AP</t>
  </si>
  <si>
    <t>Custom-719077</t>
  </si>
  <si>
    <t>Nottingham.Island</t>
  </si>
  <si>
    <t>Iqaluit.AP</t>
  </si>
  <si>
    <t>Custom-719090</t>
  </si>
  <si>
    <t>Kimmirut.AP</t>
  </si>
  <si>
    <t>Cape.Dorset.AP</t>
  </si>
  <si>
    <t>Custom-719100</t>
  </si>
  <si>
    <t>Sanikiluaq.AP</t>
  </si>
  <si>
    <t>Custom-719104</t>
  </si>
  <si>
    <t>Shepherd.Bay.AP</t>
  </si>
  <si>
    <t>Custom-719110</t>
  </si>
  <si>
    <t>Gillam.AP</t>
  </si>
  <si>
    <t>Custom-719120</t>
  </si>
  <si>
    <t>Capmon.CS-Saturna.Island</t>
  </si>
  <si>
    <t>Custom-719140</t>
  </si>
  <si>
    <t>Taloyak.AP</t>
  </si>
  <si>
    <t>Nanisivik.AP</t>
  </si>
  <si>
    <t>Custom-719143</t>
  </si>
  <si>
    <t>Coral.Harbour.AP</t>
  </si>
  <si>
    <t>Custom-719150</t>
  </si>
  <si>
    <t>Thomsen.River</t>
  </si>
  <si>
    <t>Custom-719160</t>
  </si>
  <si>
    <t>Eureka</t>
  </si>
  <si>
    <t>Custom-719170</t>
  </si>
  <si>
    <t>Cam.Four</t>
  </si>
  <si>
    <t>Custom-719180</t>
  </si>
  <si>
    <t>Baccaro.Point</t>
  </si>
  <si>
    <t>Custom-719200</t>
  </si>
  <si>
    <t>La.Ronge.AP</t>
  </si>
  <si>
    <t>Custom-719220</t>
  </si>
  <si>
    <t>Ennadai.Lake</t>
  </si>
  <si>
    <t>Custom-719230</t>
  </si>
  <si>
    <t>Resolute.Bay.AP</t>
  </si>
  <si>
    <t>Custom-719240</t>
  </si>
  <si>
    <t>Cambridge.Bay.AP</t>
  </si>
  <si>
    <t>Custom-719250</t>
  </si>
  <si>
    <t>Baker.Lake.AP</t>
  </si>
  <si>
    <t>Custom-719260</t>
  </si>
  <si>
    <t>North.Cowichan</t>
  </si>
  <si>
    <t>Custom-719270</t>
  </si>
  <si>
    <t>Rocky.Mountain.House.AP</t>
  </si>
  <si>
    <t>Custom-719280</t>
  </si>
  <si>
    <t>Byron.Bay.AP</t>
  </si>
  <si>
    <t>Whitecourt.AP</t>
  </si>
  <si>
    <t>Custom-719300</t>
  </si>
  <si>
    <t>Pools.Island</t>
  </si>
  <si>
    <t>Custom-719310</t>
  </si>
  <si>
    <t>Fort.St.James</t>
  </si>
  <si>
    <t>Fort.Smith.AP</t>
  </si>
  <si>
    <t>Custom-719340</t>
  </si>
  <si>
    <t>Hay.River-Carter.AP</t>
  </si>
  <si>
    <t>Custom-719350</t>
  </si>
  <si>
    <t>Yellowknife.AP</t>
  </si>
  <si>
    <t>Custom-719360</t>
  </si>
  <si>
    <t>Lady.Franklin.Point.AP</t>
  </si>
  <si>
    <t>Kugluktuk.AP</t>
  </si>
  <si>
    <t>Custom-719380</t>
  </si>
  <si>
    <t>Cape.Young.AP</t>
  </si>
  <si>
    <t>Beatton.River.AP</t>
  </si>
  <si>
    <t>Grande.Prairie.AP</t>
  </si>
  <si>
    <t>Custom-719400</t>
  </si>
  <si>
    <t>Fort.St.John-North.Peace.Rgnl.AP</t>
  </si>
  <si>
    <t>Custom-719430</t>
  </si>
  <si>
    <t>Mackenzie.Muni.AP</t>
  </si>
  <si>
    <t>Custom-719440</t>
  </si>
  <si>
    <t>Fort.Nelson-Northern.Rockies.Rgnl.AP</t>
  </si>
  <si>
    <t>Custom-719450</t>
  </si>
  <si>
    <t>Long.Pond.Heliport</t>
  </si>
  <si>
    <t>Fort.Simpson.AP</t>
  </si>
  <si>
    <t>Custom-719460</t>
  </si>
  <si>
    <t>Wrigley.AP</t>
  </si>
  <si>
    <t>Cape.Parry.AP</t>
  </si>
  <si>
    <t>Custom-719480</t>
  </si>
  <si>
    <t>Faro</t>
  </si>
  <si>
    <t>Custom-719490</t>
  </si>
  <si>
    <t>Smithers.Rgnl.AP</t>
  </si>
  <si>
    <t>Custom-719500</t>
  </si>
  <si>
    <t>Terrace.AP</t>
  </si>
  <si>
    <t>Custom-719510</t>
  </si>
  <si>
    <t>Burns.Lake.AP</t>
  </si>
  <si>
    <t>Custom-719520</t>
  </si>
  <si>
    <t>Burns.Lake</t>
  </si>
  <si>
    <t>Flin.Flon.AP</t>
  </si>
  <si>
    <t>Custom-719540</t>
  </si>
  <si>
    <t>Stewart.AP</t>
  </si>
  <si>
    <t>Gore.Bay-Manitoulin.AP</t>
  </si>
  <si>
    <t>Custom-719560</t>
  </si>
  <si>
    <t>Inuvik-Zubko.AP</t>
  </si>
  <si>
    <t>Custom-719570</t>
  </si>
  <si>
    <t>Fort.McPherson.AP</t>
  </si>
  <si>
    <t>Aklavik.AP</t>
  </si>
  <si>
    <t>Tulita.AP</t>
  </si>
  <si>
    <t>Cheticamp.CS</t>
  </si>
  <si>
    <t>Custom-719590</t>
  </si>
  <si>
    <t>Liverpool.Bay</t>
  </si>
  <si>
    <t>Custom-719600</t>
  </si>
  <si>
    <t>Fort.Frances.Muni.AP.RCS</t>
  </si>
  <si>
    <t>Custom-719620</t>
  </si>
  <si>
    <t>Hanbury.River</t>
  </si>
  <si>
    <t>Custom-719630</t>
  </si>
  <si>
    <t>Whitehorse.Intl.AP</t>
  </si>
  <si>
    <t>Custom-719640</t>
  </si>
  <si>
    <t>Ross.River.AP</t>
  </si>
  <si>
    <t>Mayo.AP</t>
  </si>
  <si>
    <t>Custom-719650</t>
  </si>
  <si>
    <t>Dawson.City.AP</t>
  </si>
  <si>
    <t>Custom-719660</t>
  </si>
  <si>
    <t>Saint.Germain.de.Grantham</t>
  </si>
  <si>
    <t>Custom-719670</t>
  </si>
  <si>
    <t>Beaver.Creek.AP</t>
  </si>
  <si>
    <t>Custom-719675</t>
  </si>
  <si>
    <t>Shingle.Point.AP</t>
  </si>
  <si>
    <t>Custom-719680</t>
  </si>
  <si>
    <t>Snag.AP</t>
  </si>
  <si>
    <t>Meadow.Lake.AP</t>
  </si>
  <si>
    <t>Custom-719700</t>
  </si>
  <si>
    <t>Grise.Fiord.CS</t>
  </si>
  <si>
    <t>Resolution.Island</t>
  </si>
  <si>
    <t>Custom-719720</t>
  </si>
  <si>
    <t>Corner.Brook</t>
  </si>
  <si>
    <t>Custom-719730</t>
  </si>
  <si>
    <t>Aulvik.Natl.Park</t>
  </si>
  <si>
    <t>Custom-719740</t>
  </si>
  <si>
    <t>Cape.Mercy</t>
  </si>
  <si>
    <t>Custom-719750</t>
  </si>
  <si>
    <t>Parc.Natl.des.Pingualuit</t>
  </si>
  <si>
    <t>Custom-719760</t>
  </si>
  <si>
    <t>Margaret.Lake</t>
  </si>
  <si>
    <t>Custom-719770</t>
  </si>
  <si>
    <t>Ivvavik.Natl.Park</t>
  </si>
  <si>
    <t>Custom-719780</t>
  </si>
  <si>
    <t>Hendrickson.Creek</t>
  </si>
  <si>
    <t>Custom-719790</t>
  </si>
  <si>
    <t>Rabbit.Kettle</t>
  </si>
  <si>
    <t>Custom-719800</t>
  </si>
  <si>
    <t>Azure</t>
  </si>
  <si>
    <t>Custom-719810</t>
  </si>
  <si>
    <t>Black.Diamond</t>
  </si>
  <si>
    <t>Custom-719820</t>
  </si>
  <si>
    <t>Rea.Point.AP</t>
  </si>
  <si>
    <t>Custom-719830</t>
  </si>
  <si>
    <t>Paulatuk-Ruben.AP</t>
  </si>
  <si>
    <t>Custom-719840</t>
  </si>
  <si>
    <t>Tuktoyaktuk-Gruben.AP</t>
  </si>
  <si>
    <t>Custom-719850</t>
  </si>
  <si>
    <t>Atlee.AgCM</t>
  </si>
  <si>
    <t>Custom-719860</t>
  </si>
  <si>
    <t>North.Cape</t>
  </si>
  <si>
    <t>Custom-719870</t>
  </si>
  <si>
    <t>Brier.Island</t>
  </si>
  <si>
    <t>Custom-719880</t>
  </si>
  <si>
    <t>Mould.Bay.AP</t>
  </si>
  <si>
    <t>Custom-719890</t>
  </si>
  <si>
    <t>Macmillan.Pass</t>
  </si>
  <si>
    <t>Custom-719900</t>
  </si>
  <si>
    <t>Lillooet</t>
  </si>
  <si>
    <t>Custom-719990</t>
  </si>
  <si>
    <t>Cree.Lake.AP</t>
  </si>
  <si>
    <t>Spring.Island-Vancouver.Island</t>
  </si>
  <si>
    <t>Padloping.Island</t>
  </si>
  <si>
    <t>Kuujjuarapik.AP</t>
  </si>
  <si>
    <t>CAN001</t>
  </si>
  <si>
    <t>Custom-716278</t>
  </si>
  <si>
    <t>Montreal-Mirabel.Intl.AP</t>
  </si>
  <si>
    <t>CAN002</t>
  </si>
  <si>
    <t>Custom-719050</t>
  </si>
  <si>
    <t>Latitude (N+/S-)</t>
  </si>
  <si>
    <t>Longitude (E+/W-)</t>
  </si>
  <si>
    <t>Time Zone (GMT +/-)</t>
  </si>
  <si>
    <t>Elevation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</si>
</sst>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27B7B-06CA-44ED-8B0B-70319CA877A5}">
  <dimension ref="A1:J3438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8" bestFit="1" customWidth="1"/>
    <col min="4" max="4" width="7.7109375" bestFit="1" customWidth="1"/>
    <col min="5" max="5" width="14.5703125" bestFit="1" customWidth="1"/>
    <col min="7" max="7" width="9.85546875" customWidth="1"/>
  </cols>
  <sheetData>
    <row r="1" spans="1:10" ht="30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1732</v>
      </c>
      <c r="G1" s="1" t="s">
        <v>1733</v>
      </c>
      <c r="H1" s="1" t="s">
        <v>1734</v>
      </c>
      <c r="I1" s="1" t="s">
        <v>1735</v>
      </c>
      <c r="J1" t="s">
        <v>5</v>
      </c>
    </row>
    <row r="2" spans="1:10" x14ac:dyDescent="0.25">
      <c r="A2" t="s">
        <v>6</v>
      </c>
      <c r="B2" t="s">
        <v>7</v>
      </c>
      <c r="C2" t="s">
        <v>8</v>
      </c>
      <c r="D2">
        <v>710010</v>
      </c>
      <c r="E2" t="s">
        <v>9</v>
      </c>
      <c r="F2">
        <v>61.370600000000003</v>
      </c>
      <c r="G2">
        <v>-139.04</v>
      </c>
      <c r="H2">
        <v>-8</v>
      </c>
      <c r="I2">
        <v>805.3</v>
      </c>
      <c r="J2" t="str">
        <f>HYPERLINK("https://climate.onebuilding.org/WMO_Region_4_North_and_Central_America/CAN_Canada/YT_Yukon/CAN_YT_Burwash.AP.710010_TMYx.2004-2018.zip")</f>
        <v>https://climate.onebuilding.org/WMO_Region_4_North_and_Central_America/CAN_Canada/YT_Yukon/CAN_YT_Burwash.AP.710010_TMYx.2004-2018.zip</v>
      </c>
    </row>
    <row r="3" spans="1:10" x14ac:dyDescent="0.25">
      <c r="A3" t="s">
        <v>6</v>
      </c>
      <c r="B3" t="s">
        <v>7</v>
      </c>
      <c r="C3" t="s">
        <v>8</v>
      </c>
      <c r="D3">
        <v>710010</v>
      </c>
      <c r="E3" t="s">
        <v>10</v>
      </c>
      <c r="F3">
        <v>61.370600000000003</v>
      </c>
      <c r="G3">
        <v>-139.04</v>
      </c>
      <c r="H3">
        <v>-8</v>
      </c>
      <c r="I3">
        <v>805.3</v>
      </c>
      <c r="J3" t="str">
        <f>HYPERLINK("https://climate.onebuilding.org/WMO_Region_4_North_and_Central_America/CAN_Canada/YT_Yukon/CAN_YT_Burwash.AP.710010_TMYx.2007-2021.zip")</f>
        <v>https://climate.onebuilding.org/WMO_Region_4_North_and_Central_America/CAN_Canada/YT_Yukon/CAN_YT_Burwash.AP.710010_TMYx.2007-2021.zip</v>
      </c>
    </row>
    <row r="4" spans="1:10" x14ac:dyDescent="0.25">
      <c r="A4" t="s">
        <v>6</v>
      </c>
      <c r="B4" t="s">
        <v>7</v>
      </c>
      <c r="C4" t="s">
        <v>8</v>
      </c>
      <c r="D4">
        <v>710010</v>
      </c>
      <c r="E4" t="s">
        <v>10</v>
      </c>
      <c r="F4">
        <v>61.370600000000003</v>
      </c>
      <c r="G4">
        <v>-139.04</v>
      </c>
      <c r="H4">
        <v>-8</v>
      </c>
      <c r="I4">
        <v>805.3</v>
      </c>
      <c r="J4" t="str">
        <f>HYPERLINK("https://climate.onebuilding.org/WMO_Region_4_North_and_Central_America/CAN_Canada/YT_Yukon/CAN_YT_Burwash.AP.710010_TMYx.2009-2023.zip")</f>
        <v>https://climate.onebuilding.org/WMO_Region_4_North_and_Central_America/CAN_Canada/YT_Yukon/CAN_YT_Burwash.AP.710010_TMYx.2009-2023.zip</v>
      </c>
    </row>
    <row r="5" spans="1:10" x14ac:dyDescent="0.25">
      <c r="A5" t="s">
        <v>6</v>
      </c>
      <c r="B5" t="s">
        <v>7</v>
      </c>
      <c r="C5" t="s">
        <v>8</v>
      </c>
      <c r="D5">
        <v>710010</v>
      </c>
      <c r="E5" t="s">
        <v>10</v>
      </c>
      <c r="F5">
        <v>61.370600000000003</v>
      </c>
      <c r="G5">
        <v>-139.04</v>
      </c>
      <c r="H5">
        <v>-8</v>
      </c>
      <c r="I5">
        <v>805.3</v>
      </c>
      <c r="J5" t="str">
        <f>HYPERLINK("https://climate.onebuilding.org/WMO_Region_4_North_and_Central_America/CAN_Canada/YT_Yukon/CAN_YT_Burwash.AP.710010_TMYx.zip")</f>
        <v>https://climate.onebuilding.org/WMO_Region_4_North_and_Central_America/CAN_Canada/YT_Yukon/CAN_YT_Burwash.AP.710010_TMYx.zip</v>
      </c>
    </row>
    <row r="6" spans="1:10" x14ac:dyDescent="0.25">
      <c r="A6" t="s">
        <v>6</v>
      </c>
      <c r="B6" t="s">
        <v>11</v>
      </c>
      <c r="C6" t="s">
        <v>12</v>
      </c>
      <c r="D6">
        <v>710020</v>
      </c>
      <c r="E6" t="s">
        <v>13</v>
      </c>
      <c r="F6">
        <v>53.561900000000001</v>
      </c>
      <c r="G6">
        <v>-64.106399999999994</v>
      </c>
      <c r="H6">
        <v>-4</v>
      </c>
      <c r="I6">
        <v>439.5</v>
      </c>
      <c r="J6" t="str">
        <f>HYPERLINK("https://climate.onebuilding.org/WMO_Region_4_North_and_Central_America/CAN_Canada/NL_Newfoundland_and_Labrador/CAN_NL_Churchill.Falls.AP.710020_TMYx.2004-2018.zip")</f>
        <v>https://climate.onebuilding.org/WMO_Region_4_North_and_Central_America/CAN_Canada/NL_Newfoundland_and_Labrador/CAN_NL_Churchill.Falls.AP.710020_TMYx.2004-2018.zip</v>
      </c>
    </row>
    <row r="7" spans="1:10" x14ac:dyDescent="0.25">
      <c r="A7" t="s">
        <v>6</v>
      </c>
      <c r="B7" t="s">
        <v>11</v>
      </c>
      <c r="C7" t="s">
        <v>12</v>
      </c>
      <c r="D7">
        <v>710020</v>
      </c>
      <c r="E7" t="s">
        <v>10</v>
      </c>
      <c r="F7">
        <v>53.561900000000001</v>
      </c>
      <c r="G7">
        <v>-64.106399999999994</v>
      </c>
      <c r="H7">
        <v>-4</v>
      </c>
      <c r="I7">
        <v>439.5</v>
      </c>
      <c r="J7" t="str">
        <f>HYPERLINK("https://climate.onebuilding.org/WMO_Region_4_North_and_Central_America/CAN_Canada/NL_Newfoundland_and_Labrador/CAN_NL_Churchill.Falls.AP.710020_TMYx.2007-2021.zip")</f>
        <v>https://climate.onebuilding.org/WMO_Region_4_North_and_Central_America/CAN_Canada/NL_Newfoundland_and_Labrador/CAN_NL_Churchill.Falls.AP.710020_TMYx.2007-2021.zip</v>
      </c>
    </row>
    <row r="8" spans="1:10" x14ac:dyDescent="0.25">
      <c r="A8" t="s">
        <v>6</v>
      </c>
      <c r="B8" t="s">
        <v>11</v>
      </c>
      <c r="C8" t="s">
        <v>12</v>
      </c>
      <c r="D8">
        <v>710020</v>
      </c>
      <c r="E8" t="s">
        <v>10</v>
      </c>
      <c r="F8">
        <v>53.561900000000001</v>
      </c>
      <c r="G8">
        <v>-64.106399999999994</v>
      </c>
      <c r="H8">
        <v>-4</v>
      </c>
      <c r="I8">
        <v>439.5</v>
      </c>
      <c r="J8" t="str">
        <f>HYPERLINK("https://climate.onebuilding.org/WMO_Region_4_North_and_Central_America/CAN_Canada/NL_Newfoundland_and_Labrador/CAN_NL_Churchill.Falls.AP.710020_TMYx.2009-2023.zip")</f>
        <v>https://climate.onebuilding.org/WMO_Region_4_North_and_Central_America/CAN_Canada/NL_Newfoundland_and_Labrador/CAN_NL_Churchill.Falls.AP.710020_TMYx.2009-2023.zip</v>
      </c>
    </row>
    <row r="9" spans="1:10" x14ac:dyDescent="0.25">
      <c r="A9" t="s">
        <v>6</v>
      </c>
      <c r="B9" t="s">
        <v>11</v>
      </c>
      <c r="C9" t="s">
        <v>12</v>
      </c>
      <c r="D9">
        <v>710020</v>
      </c>
      <c r="E9" t="s">
        <v>10</v>
      </c>
      <c r="F9">
        <v>53.561900000000001</v>
      </c>
      <c r="G9">
        <v>-64.106399999999994</v>
      </c>
      <c r="H9">
        <v>-4</v>
      </c>
      <c r="I9">
        <v>439.5</v>
      </c>
      <c r="J9" t="str">
        <f>HYPERLINK("https://climate.onebuilding.org/WMO_Region_4_North_and_Central_America/CAN_Canada/NL_Newfoundland_and_Labrador/CAN_NL_Churchill.Falls.AP.710020_TMYx.zip")</f>
        <v>https://climate.onebuilding.org/WMO_Region_4_North_and_Central_America/CAN_Canada/NL_Newfoundland_and_Labrador/CAN_NL_Churchill.Falls.AP.710020_TMYx.zip</v>
      </c>
    </row>
    <row r="10" spans="1:10" x14ac:dyDescent="0.25">
      <c r="A10" t="s">
        <v>6</v>
      </c>
      <c r="B10" t="s">
        <v>14</v>
      </c>
      <c r="C10" t="s">
        <v>15</v>
      </c>
      <c r="D10">
        <v>710030</v>
      </c>
      <c r="E10" t="s">
        <v>16</v>
      </c>
      <c r="F10">
        <v>53.7547</v>
      </c>
      <c r="G10">
        <v>-73.675299999999993</v>
      </c>
      <c r="H10">
        <v>-5</v>
      </c>
      <c r="I10">
        <v>306.3</v>
      </c>
      <c r="J10" t="str">
        <f>HYPERLINK("https://climate.onebuilding.org/WMO_Region_4_North_and_Central_America/CAN_Canada/QC_Quebec/CAN_QC_La.Grande.4.AP.710030_TMYx.2004-2018.zip")</f>
        <v>https://climate.onebuilding.org/WMO_Region_4_North_and_Central_America/CAN_Canada/QC_Quebec/CAN_QC_La.Grande.4.AP.710030_TMYx.2004-2018.zip</v>
      </c>
    </row>
    <row r="11" spans="1:10" x14ac:dyDescent="0.25">
      <c r="A11" t="s">
        <v>6</v>
      </c>
      <c r="B11" t="s">
        <v>14</v>
      </c>
      <c r="C11" t="s">
        <v>15</v>
      </c>
      <c r="D11">
        <v>710030</v>
      </c>
      <c r="E11" t="s">
        <v>10</v>
      </c>
      <c r="F11">
        <v>53.7547</v>
      </c>
      <c r="G11">
        <v>-73.675299999999993</v>
      </c>
      <c r="H11">
        <v>-5</v>
      </c>
      <c r="I11">
        <v>306.3</v>
      </c>
      <c r="J11" t="str">
        <f>HYPERLINK("https://climate.onebuilding.org/WMO_Region_4_North_and_Central_America/CAN_Canada/QC_Quebec/CAN_QC_La.Grande.4.AP.710030_TMYx.2007-2021.zip")</f>
        <v>https://climate.onebuilding.org/WMO_Region_4_North_and_Central_America/CAN_Canada/QC_Quebec/CAN_QC_La.Grande.4.AP.710030_TMYx.2007-2021.zip</v>
      </c>
    </row>
    <row r="12" spans="1:10" x14ac:dyDescent="0.25">
      <c r="A12" t="s">
        <v>6</v>
      </c>
      <c r="B12" t="s">
        <v>14</v>
      </c>
      <c r="C12" t="s">
        <v>15</v>
      </c>
      <c r="D12">
        <v>710030</v>
      </c>
      <c r="E12" t="s">
        <v>10</v>
      </c>
      <c r="F12">
        <v>53.7547</v>
      </c>
      <c r="G12">
        <v>-73.675299999999993</v>
      </c>
      <c r="H12">
        <v>-5</v>
      </c>
      <c r="I12">
        <v>306.3</v>
      </c>
      <c r="J12" t="str">
        <f>HYPERLINK("https://climate.onebuilding.org/WMO_Region_4_North_and_Central_America/CAN_Canada/QC_Quebec/CAN_QC_La.Grande.4.AP.710030_TMYx.2009-2023.zip")</f>
        <v>https://climate.onebuilding.org/WMO_Region_4_North_and_Central_America/CAN_Canada/QC_Quebec/CAN_QC_La.Grande.4.AP.710030_TMYx.2009-2023.zip</v>
      </c>
    </row>
    <row r="13" spans="1:10" x14ac:dyDescent="0.25">
      <c r="A13" t="s">
        <v>6</v>
      </c>
      <c r="B13" t="s">
        <v>14</v>
      </c>
      <c r="C13" t="s">
        <v>15</v>
      </c>
      <c r="D13">
        <v>710030</v>
      </c>
      <c r="E13" t="s">
        <v>10</v>
      </c>
      <c r="F13">
        <v>53.7547</v>
      </c>
      <c r="G13">
        <v>-73.675299999999993</v>
      </c>
      <c r="H13">
        <v>-5</v>
      </c>
      <c r="I13">
        <v>306.3</v>
      </c>
      <c r="J13" t="str">
        <f>HYPERLINK("https://climate.onebuilding.org/WMO_Region_4_North_and_Central_America/CAN_Canada/QC_Quebec/CAN_QC_La.Grande.4.AP.710030_TMYx.zip")</f>
        <v>https://climate.onebuilding.org/WMO_Region_4_North_and_Central_America/CAN_Canada/QC_Quebec/CAN_QC_La.Grande.4.AP.710030_TMYx.zip</v>
      </c>
    </row>
    <row r="14" spans="1:10" x14ac:dyDescent="0.25">
      <c r="A14" t="s">
        <v>6</v>
      </c>
      <c r="B14" t="s">
        <v>17</v>
      </c>
      <c r="C14" t="s">
        <v>18</v>
      </c>
      <c r="D14">
        <v>710050</v>
      </c>
      <c r="E14" t="s">
        <v>19</v>
      </c>
      <c r="F14">
        <v>53.1</v>
      </c>
      <c r="G14">
        <v>-111.167</v>
      </c>
      <c r="H14">
        <v>-7</v>
      </c>
      <c r="I14">
        <v>658</v>
      </c>
      <c r="J14" t="str">
        <f>HYPERLINK("https://climate.onebuilding.org/WMO_Region_4_North_and_Central_America/CAN_Canada/AB_Alberta/CAN_AB_Albert.Hall.AgCM.710050_TMYx.2004-2018.zip")</f>
        <v>https://climate.onebuilding.org/WMO_Region_4_North_and_Central_America/CAN_Canada/AB_Alberta/CAN_AB_Albert.Hall.AgCM.710050_TMYx.2004-2018.zip</v>
      </c>
    </row>
    <row r="15" spans="1:10" x14ac:dyDescent="0.25">
      <c r="A15" t="s">
        <v>6</v>
      </c>
      <c r="B15" t="s">
        <v>17</v>
      </c>
      <c r="C15" t="s">
        <v>18</v>
      </c>
      <c r="D15">
        <v>710050</v>
      </c>
      <c r="E15" t="s">
        <v>10</v>
      </c>
      <c r="F15">
        <v>53.113399999999999</v>
      </c>
      <c r="G15">
        <v>-111.1812</v>
      </c>
      <c r="H15">
        <v>-7</v>
      </c>
      <c r="I15">
        <v>658</v>
      </c>
      <c r="J15" t="str">
        <f>HYPERLINK("https://climate.onebuilding.org/WMO_Region_4_North_and_Central_America/CAN_Canada/AB_Alberta/CAN_AB_Albert.Hall.AgCM.710050_TMYx.2007-2021.zip")</f>
        <v>https://climate.onebuilding.org/WMO_Region_4_North_and_Central_America/CAN_Canada/AB_Alberta/CAN_AB_Albert.Hall.AgCM.710050_TMYx.2007-2021.zip</v>
      </c>
    </row>
    <row r="16" spans="1:10" x14ac:dyDescent="0.25">
      <c r="A16" t="s">
        <v>6</v>
      </c>
      <c r="B16" t="s">
        <v>17</v>
      </c>
      <c r="C16" t="s">
        <v>18</v>
      </c>
      <c r="D16">
        <v>710050</v>
      </c>
      <c r="E16" t="s">
        <v>10</v>
      </c>
      <c r="F16">
        <v>53.113399999999999</v>
      </c>
      <c r="G16">
        <v>-111.1812</v>
      </c>
      <c r="H16">
        <v>-7</v>
      </c>
      <c r="I16">
        <v>658</v>
      </c>
      <c r="J16" t="str">
        <f>HYPERLINK("https://climate.onebuilding.org/WMO_Region_4_North_and_Central_America/CAN_Canada/AB_Alberta/CAN_AB_Albert.Hall.AgCM.710050_TMYx.2009-2023.zip")</f>
        <v>https://climate.onebuilding.org/WMO_Region_4_North_and_Central_America/CAN_Canada/AB_Alberta/CAN_AB_Albert.Hall.AgCM.710050_TMYx.2009-2023.zip</v>
      </c>
    </row>
    <row r="17" spans="1:10" x14ac:dyDescent="0.25">
      <c r="A17" t="s">
        <v>6</v>
      </c>
      <c r="B17" t="s">
        <v>17</v>
      </c>
      <c r="C17" t="s">
        <v>18</v>
      </c>
      <c r="D17">
        <v>710050</v>
      </c>
      <c r="E17" t="s">
        <v>10</v>
      </c>
      <c r="F17">
        <v>53.113399999999999</v>
      </c>
      <c r="G17">
        <v>-111.1812</v>
      </c>
      <c r="H17">
        <v>-7</v>
      </c>
      <c r="I17">
        <v>658</v>
      </c>
      <c r="J17" t="str">
        <f>HYPERLINK("https://climate.onebuilding.org/WMO_Region_4_North_and_Central_America/CAN_Canada/AB_Alberta/CAN_AB_Albert.Hall.AgCM.710050_TMYx.zip")</f>
        <v>https://climate.onebuilding.org/WMO_Region_4_North_and_Central_America/CAN_Canada/AB_Alberta/CAN_AB_Albert.Hall.AgCM.710050_TMYx.zip</v>
      </c>
    </row>
    <row r="18" spans="1:10" x14ac:dyDescent="0.25">
      <c r="A18" t="s">
        <v>6</v>
      </c>
      <c r="B18" t="s">
        <v>17</v>
      </c>
      <c r="C18" t="s">
        <v>20</v>
      </c>
      <c r="D18">
        <v>710060</v>
      </c>
      <c r="E18" t="s">
        <v>21</v>
      </c>
      <c r="F18">
        <v>52.3</v>
      </c>
      <c r="G18">
        <v>-111.767</v>
      </c>
      <c r="H18">
        <v>-7</v>
      </c>
      <c r="I18">
        <v>737</v>
      </c>
      <c r="J18" t="str">
        <f>HYPERLINK("https://climate.onebuilding.org/WMO_Region_4_North_and_Central_America/CAN_Canada/AB_Alberta/CAN_AB_Alliance.AgCM.710060_TMYx.2004-2018.zip")</f>
        <v>https://climate.onebuilding.org/WMO_Region_4_North_and_Central_America/CAN_Canada/AB_Alberta/CAN_AB_Alliance.AgCM.710060_TMYx.2004-2018.zip</v>
      </c>
    </row>
    <row r="19" spans="1:10" x14ac:dyDescent="0.25">
      <c r="A19" t="s">
        <v>6</v>
      </c>
      <c r="B19" t="s">
        <v>17</v>
      </c>
      <c r="C19" t="s">
        <v>20</v>
      </c>
      <c r="D19">
        <v>710060</v>
      </c>
      <c r="E19" t="s">
        <v>10</v>
      </c>
      <c r="F19">
        <v>52.3</v>
      </c>
      <c r="G19">
        <v>-111.767</v>
      </c>
      <c r="H19">
        <v>-7</v>
      </c>
      <c r="I19">
        <v>737</v>
      </c>
      <c r="J19" t="str">
        <f>HYPERLINK("https://climate.onebuilding.org/WMO_Region_4_North_and_Central_America/CAN_Canada/AB_Alberta/CAN_AB_Alliance.AgCM.710060_TMYx.2007-2021.zip")</f>
        <v>https://climate.onebuilding.org/WMO_Region_4_North_and_Central_America/CAN_Canada/AB_Alberta/CAN_AB_Alliance.AgCM.710060_TMYx.2007-2021.zip</v>
      </c>
    </row>
    <row r="20" spans="1:10" x14ac:dyDescent="0.25">
      <c r="A20" t="s">
        <v>6</v>
      </c>
      <c r="B20" t="s">
        <v>17</v>
      </c>
      <c r="C20" t="s">
        <v>20</v>
      </c>
      <c r="D20">
        <v>710060</v>
      </c>
      <c r="E20" t="s">
        <v>10</v>
      </c>
      <c r="F20">
        <v>52.3</v>
      </c>
      <c r="G20">
        <v>-111.767</v>
      </c>
      <c r="H20">
        <v>-7</v>
      </c>
      <c r="I20">
        <v>737</v>
      </c>
      <c r="J20" t="str">
        <f>HYPERLINK("https://climate.onebuilding.org/WMO_Region_4_North_and_Central_America/CAN_Canada/AB_Alberta/CAN_AB_Alliance.AgCM.710060_TMYx.2009-2023.zip")</f>
        <v>https://climate.onebuilding.org/WMO_Region_4_North_and_Central_America/CAN_Canada/AB_Alberta/CAN_AB_Alliance.AgCM.710060_TMYx.2009-2023.zip</v>
      </c>
    </row>
    <row r="21" spans="1:10" x14ac:dyDescent="0.25">
      <c r="A21" t="s">
        <v>6</v>
      </c>
      <c r="B21" t="s">
        <v>17</v>
      </c>
      <c r="C21" t="s">
        <v>20</v>
      </c>
      <c r="D21">
        <v>710060</v>
      </c>
      <c r="E21" t="s">
        <v>10</v>
      </c>
      <c r="F21">
        <v>52.3</v>
      </c>
      <c r="G21">
        <v>-111.767</v>
      </c>
      <c r="H21">
        <v>-7</v>
      </c>
      <c r="I21">
        <v>737</v>
      </c>
      <c r="J21" t="str">
        <f>HYPERLINK("https://climate.onebuilding.org/WMO_Region_4_North_and_Central_America/CAN_Canada/AB_Alberta/CAN_AB_Alliance.AgCM.710060_TMYx.zip")</f>
        <v>https://climate.onebuilding.org/WMO_Region_4_North_and_Central_America/CAN_Canada/AB_Alberta/CAN_AB_Alliance.AgCM.710060_TMYx.zip</v>
      </c>
    </row>
    <row r="22" spans="1:10" x14ac:dyDescent="0.25">
      <c r="A22" t="s">
        <v>6</v>
      </c>
      <c r="B22" t="s">
        <v>17</v>
      </c>
      <c r="C22" t="s">
        <v>22</v>
      </c>
      <c r="D22">
        <v>710070</v>
      </c>
      <c r="E22" t="s">
        <v>23</v>
      </c>
      <c r="F22">
        <v>50.025799999999997</v>
      </c>
      <c r="G22">
        <v>-113.2244</v>
      </c>
      <c r="H22">
        <v>-8</v>
      </c>
      <c r="I22">
        <v>967</v>
      </c>
      <c r="J22" t="str">
        <f>HYPERLINK("https://climate.onebuilding.org/WMO_Region_4_North_and_Central_America/CAN_Canada/AB_Alberta/CAN_AB_Barons.AgCM.710070_TMYx.2004-2018.zip")</f>
        <v>https://climate.onebuilding.org/WMO_Region_4_North_and_Central_America/CAN_Canada/AB_Alberta/CAN_AB_Barons.AgCM.710070_TMYx.2004-2018.zip</v>
      </c>
    </row>
    <row r="23" spans="1:10" x14ac:dyDescent="0.25">
      <c r="A23" t="s">
        <v>6</v>
      </c>
      <c r="B23" t="s">
        <v>17</v>
      </c>
      <c r="C23" t="s">
        <v>22</v>
      </c>
      <c r="D23">
        <v>710070</v>
      </c>
      <c r="E23" t="s">
        <v>10</v>
      </c>
      <c r="F23">
        <v>50.025799999999997</v>
      </c>
      <c r="G23">
        <v>-113.2244</v>
      </c>
      <c r="H23">
        <v>-7</v>
      </c>
      <c r="I23">
        <v>967</v>
      </c>
      <c r="J23" t="str">
        <f>HYPERLINK("https://climate.onebuilding.org/WMO_Region_4_North_and_Central_America/CAN_Canada/AB_Alberta/CAN_AB_Barons.AgCM.710070_TMYx.2007-2021.zip")</f>
        <v>https://climate.onebuilding.org/WMO_Region_4_North_and_Central_America/CAN_Canada/AB_Alberta/CAN_AB_Barons.AgCM.710070_TMYx.2007-2021.zip</v>
      </c>
    </row>
    <row r="24" spans="1:10" x14ac:dyDescent="0.25">
      <c r="A24" t="s">
        <v>6</v>
      </c>
      <c r="B24" t="s">
        <v>17</v>
      </c>
      <c r="C24" t="s">
        <v>22</v>
      </c>
      <c r="D24">
        <v>710070</v>
      </c>
      <c r="E24" t="s">
        <v>10</v>
      </c>
      <c r="F24">
        <v>50.025799999999997</v>
      </c>
      <c r="G24">
        <v>-113.2244</v>
      </c>
      <c r="H24">
        <v>-7</v>
      </c>
      <c r="I24">
        <v>967</v>
      </c>
      <c r="J24" t="str">
        <f>HYPERLINK("https://climate.onebuilding.org/WMO_Region_4_North_and_Central_America/CAN_Canada/AB_Alberta/CAN_AB_Barons.AgCM.710070_TMYx.2009-2023.zip")</f>
        <v>https://climate.onebuilding.org/WMO_Region_4_North_and_Central_America/CAN_Canada/AB_Alberta/CAN_AB_Barons.AgCM.710070_TMYx.2009-2023.zip</v>
      </c>
    </row>
    <row r="25" spans="1:10" x14ac:dyDescent="0.25">
      <c r="A25" t="s">
        <v>6</v>
      </c>
      <c r="B25" t="s">
        <v>17</v>
      </c>
      <c r="C25" t="s">
        <v>22</v>
      </c>
      <c r="D25">
        <v>710070</v>
      </c>
      <c r="E25" t="s">
        <v>10</v>
      </c>
      <c r="F25">
        <v>50.025799999999997</v>
      </c>
      <c r="G25">
        <v>-113.2244</v>
      </c>
      <c r="H25">
        <v>-7</v>
      </c>
      <c r="I25">
        <v>967</v>
      </c>
      <c r="J25" t="str">
        <f>HYPERLINK("https://climate.onebuilding.org/WMO_Region_4_North_and_Central_America/CAN_Canada/AB_Alberta/CAN_AB_Barons.AgCM.710070_TMYx.zip")</f>
        <v>https://climate.onebuilding.org/WMO_Region_4_North_and_Central_America/CAN_Canada/AB_Alberta/CAN_AB_Barons.AgCM.710070_TMYx.zip</v>
      </c>
    </row>
    <row r="26" spans="1:10" x14ac:dyDescent="0.25">
      <c r="A26" t="s">
        <v>6</v>
      </c>
      <c r="B26" t="s">
        <v>17</v>
      </c>
      <c r="C26" t="s">
        <v>24</v>
      </c>
      <c r="D26">
        <v>710080</v>
      </c>
      <c r="E26" t="s">
        <v>25</v>
      </c>
      <c r="F26">
        <v>50.883000000000003</v>
      </c>
      <c r="G26">
        <v>-112.45</v>
      </c>
      <c r="H26">
        <v>-7</v>
      </c>
      <c r="I26">
        <v>807</v>
      </c>
      <c r="J26" t="str">
        <f>HYPERLINK("https://climate.onebuilding.org/WMO_Region_4_North_and_Central_America/CAN_Canada/AB_Alberta/CAN_AB_Bassano.AgCM.710080_TMYx.2004-2018.zip")</f>
        <v>https://climate.onebuilding.org/WMO_Region_4_North_and_Central_America/CAN_Canada/AB_Alberta/CAN_AB_Bassano.AgCM.710080_TMYx.2004-2018.zip</v>
      </c>
    </row>
    <row r="27" spans="1:10" x14ac:dyDescent="0.25">
      <c r="A27" t="s">
        <v>6</v>
      </c>
      <c r="B27" t="s">
        <v>17</v>
      </c>
      <c r="C27" t="s">
        <v>24</v>
      </c>
      <c r="D27">
        <v>710080</v>
      </c>
      <c r="E27" t="s">
        <v>10</v>
      </c>
      <c r="F27">
        <v>50.892499999999998</v>
      </c>
      <c r="G27">
        <v>-112.465</v>
      </c>
      <c r="H27">
        <v>-7</v>
      </c>
      <c r="I27">
        <v>807</v>
      </c>
      <c r="J27" t="str">
        <f>HYPERLINK("https://climate.onebuilding.org/WMO_Region_4_North_and_Central_America/CAN_Canada/AB_Alberta/CAN_AB_Bassano.AgCM.710080_TMYx.2007-2021.zip")</f>
        <v>https://climate.onebuilding.org/WMO_Region_4_North_and_Central_America/CAN_Canada/AB_Alberta/CAN_AB_Bassano.AgCM.710080_TMYx.2007-2021.zip</v>
      </c>
    </row>
    <row r="28" spans="1:10" x14ac:dyDescent="0.25">
      <c r="A28" t="s">
        <v>6</v>
      </c>
      <c r="B28" t="s">
        <v>17</v>
      </c>
      <c r="C28" t="s">
        <v>24</v>
      </c>
      <c r="D28">
        <v>710080</v>
      </c>
      <c r="E28" t="s">
        <v>10</v>
      </c>
      <c r="F28">
        <v>50.892499999999998</v>
      </c>
      <c r="G28">
        <v>-112.465</v>
      </c>
      <c r="H28">
        <v>-7</v>
      </c>
      <c r="I28">
        <v>807</v>
      </c>
      <c r="J28" t="str">
        <f>HYPERLINK("https://climate.onebuilding.org/WMO_Region_4_North_and_Central_America/CAN_Canada/AB_Alberta/CAN_AB_Bassano.AgCM.710080_TMYx.2009-2023.zip")</f>
        <v>https://climate.onebuilding.org/WMO_Region_4_North_and_Central_America/CAN_Canada/AB_Alberta/CAN_AB_Bassano.AgCM.710080_TMYx.2009-2023.zip</v>
      </c>
    </row>
    <row r="29" spans="1:10" x14ac:dyDescent="0.25">
      <c r="A29" t="s">
        <v>6</v>
      </c>
      <c r="B29" t="s">
        <v>17</v>
      </c>
      <c r="C29" t="s">
        <v>24</v>
      </c>
      <c r="D29">
        <v>710080</v>
      </c>
      <c r="E29" t="s">
        <v>10</v>
      </c>
      <c r="F29">
        <v>50.892499999999998</v>
      </c>
      <c r="G29">
        <v>-112.465</v>
      </c>
      <c r="H29">
        <v>-7</v>
      </c>
      <c r="I29">
        <v>807</v>
      </c>
      <c r="J29" t="str">
        <f>HYPERLINK("https://climate.onebuilding.org/WMO_Region_4_North_and_Central_America/CAN_Canada/AB_Alberta/CAN_AB_Bassano.AgCM.710080_TMYx.zip")</f>
        <v>https://climate.onebuilding.org/WMO_Region_4_North_and_Central_America/CAN_Canada/AB_Alberta/CAN_AB_Bassano.AgCM.710080_TMYx.zip</v>
      </c>
    </row>
    <row r="30" spans="1:10" x14ac:dyDescent="0.25">
      <c r="A30" t="s">
        <v>6</v>
      </c>
      <c r="B30" t="s">
        <v>17</v>
      </c>
      <c r="C30" t="s">
        <v>26</v>
      </c>
      <c r="D30">
        <v>710090</v>
      </c>
      <c r="E30" t="s">
        <v>27</v>
      </c>
      <c r="F30">
        <v>51.366999999999997</v>
      </c>
      <c r="G30">
        <v>-113.35</v>
      </c>
      <c r="H30">
        <v>-8</v>
      </c>
      <c r="I30">
        <v>896</v>
      </c>
      <c r="J30" t="str">
        <f>HYPERLINK("https://climate.onebuilding.org/WMO_Region_4_North_and_Central_America/CAN_Canada/AB_Alberta/CAN_AB_Beiseker.AgCM.710090_TMYx.2004-2018.zip")</f>
        <v>https://climate.onebuilding.org/WMO_Region_4_North_and_Central_America/CAN_Canada/AB_Alberta/CAN_AB_Beiseker.AgCM.710090_TMYx.2004-2018.zip</v>
      </c>
    </row>
    <row r="31" spans="1:10" x14ac:dyDescent="0.25">
      <c r="A31" t="s">
        <v>6</v>
      </c>
      <c r="B31" t="s">
        <v>17</v>
      </c>
      <c r="C31" t="s">
        <v>26</v>
      </c>
      <c r="D31">
        <v>710090</v>
      </c>
      <c r="E31" t="s">
        <v>10</v>
      </c>
      <c r="F31">
        <v>51.378999999999998</v>
      </c>
      <c r="G31">
        <v>-113.357</v>
      </c>
      <c r="H31">
        <v>-7</v>
      </c>
      <c r="I31">
        <v>896</v>
      </c>
      <c r="J31" t="str">
        <f>HYPERLINK("https://climate.onebuilding.org/WMO_Region_4_North_and_Central_America/CAN_Canada/AB_Alberta/CAN_AB_Beiseker.AgCM.710090_TMYx.2007-2021.zip")</f>
        <v>https://climate.onebuilding.org/WMO_Region_4_North_and_Central_America/CAN_Canada/AB_Alberta/CAN_AB_Beiseker.AgCM.710090_TMYx.2007-2021.zip</v>
      </c>
    </row>
    <row r="32" spans="1:10" x14ac:dyDescent="0.25">
      <c r="A32" t="s">
        <v>6</v>
      </c>
      <c r="B32" t="s">
        <v>17</v>
      </c>
      <c r="C32" t="s">
        <v>26</v>
      </c>
      <c r="D32">
        <v>710090</v>
      </c>
      <c r="E32" t="s">
        <v>10</v>
      </c>
      <c r="F32">
        <v>51.378999999999998</v>
      </c>
      <c r="G32">
        <v>-113.357</v>
      </c>
      <c r="H32">
        <v>-7</v>
      </c>
      <c r="I32">
        <v>896</v>
      </c>
      <c r="J32" t="str">
        <f>HYPERLINK("https://climate.onebuilding.org/WMO_Region_4_North_and_Central_America/CAN_Canada/AB_Alberta/CAN_AB_Beiseker.AgCM.710090_TMYx.2009-2023.zip")</f>
        <v>https://climate.onebuilding.org/WMO_Region_4_North_and_Central_America/CAN_Canada/AB_Alberta/CAN_AB_Beiseker.AgCM.710090_TMYx.2009-2023.zip</v>
      </c>
    </row>
    <row r="33" spans="1:10" x14ac:dyDescent="0.25">
      <c r="A33" t="s">
        <v>6</v>
      </c>
      <c r="B33" t="s">
        <v>17</v>
      </c>
      <c r="C33" t="s">
        <v>26</v>
      </c>
      <c r="D33">
        <v>710090</v>
      </c>
      <c r="E33" t="s">
        <v>10</v>
      </c>
      <c r="F33">
        <v>51.378999999999998</v>
      </c>
      <c r="G33">
        <v>-113.357</v>
      </c>
      <c r="H33">
        <v>-7</v>
      </c>
      <c r="I33">
        <v>896</v>
      </c>
      <c r="J33" t="str">
        <f>HYPERLINK("https://climate.onebuilding.org/WMO_Region_4_North_and_Central_America/CAN_Canada/AB_Alberta/CAN_AB_Beiseker.AgCM.710090_TMYx.zip")</f>
        <v>https://climate.onebuilding.org/WMO_Region_4_North_and_Central_America/CAN_Canada/AB_Alberta/CAN_AB_Beiseker.AgCM.710090_TMYx.zip</v>
      </c>
    </row>
    <row r="34" spans="1:10" x14ac:dyDescent="0.25">
      <c r="A34" t="s">
        <v>6</v>
      </c>
      <c r="B34" t="s">
        <v>17</v>
      </c>
      <c r="C34" t="s">
        <v>28</v>
      </c>
      <c r="D34">
        <v>710100</v>
      </c>
      <c r="E34" t="s">
        <v>29</v>
      </c>
      <c r="F34">
        <v>52.5822</v>
      </c>
      <c r="G34">
        <v>-111.4653</v>
      </c>
      <c r="H34">
        <v>-7</v>
      </c>
      <c r="I34">
        <v>721</v>
      </c>
      <c r="J34" t="str">
        <f>HYPERLINK("https://climate.onebuilding.org/WMO_Region_4_North_and_Central_America/CAN_Canada/AB_Alberta/CAN_AB_Bellshill.AgCM.710100_TMYx.2004-2018.zip")</f>
        <v>https://climate.onebuilding.org/WMO_Region_4_North_and_Central_America/CAN_Canada/AB_Alberta/CAN_AB_Bellshill.AgCM.710100_TMYx.2004-2018.zip</v>
      </c>
    </row>
    <row r="35" spans="1:10" x14ac:dyDescent="0.25">
      <c r="A35" t="s">
        <v>6</v>
      </c>
      <c r="B35" t="s">
        <v>17</v>
      </c>
      <c r="C35" t="s">
        <v>28</v>
      </c>
      <c r="D35">
        <v>710100</v>
      </c>
      <c r="E35" t="s">
        <v>10</v>
      </c>
      <c r="F35">
        <v>52.5822</v>
      </c>
      <c r="G35">
        <v>-111.4653</v>
      </c>
      <c r="H35">
        <v>-7</v>
      </c>
      <c r="I35">
        <v>721</v>
      </c>
      <c r="J35" t="str">
        <f>HYPERLINK("https://climate.onebuilding.org/WMO_Region_4_North_and_Central_America/CAN_Canada/AB_Alberta/CAN_AB_Bellshill.AgCM.710100_TMYx.2007-2021.zip")</f>
        <v>https://climate.onebuilding.org/WMO_Region_4_North_and_Central_America/CAN_Canada/AB_Alberta/CAN_AB_Bellshill.AgCM.710100_TMYx.2007-2021.zip</v>
      </c>
    </row>
    <row r="36" spans="1:10" x14ac:dyDescent="0.25">
      <c r="A36" t="s">
        <v>6</v>
      </c>
      <c r="B36" t="s">
        <v>17</v>
      </c>
      <c r="C36" t="s">
        <v>28</v>
      </c>
      <c r="D36">
        <v>710100</v>
      </c>
      <c r="E36" t="s">
        <v>10</v>
      </c>
      <c r="F36">
        <v>52.5822</v>
      </c>
      <c r="G36">
        <v>-111.4653</v>
      </c>
      <c r="H36">
        <v>-7</v>
      </c>
      <c r="I36">
        <v>721</v>
      </c>
      <c r="J36" t="str">
        <f>HYPERLINK("https://climate.onebuilding.org/WMO_Region_4_North_and_Central_America/CAN_Canada/AB_Alberta/CAN_AB_Bellshill.AgCM.710100_TMYx.2009-2023.zip")</f>
        <v>https://climate.onebuilding.org/WMO_Region_4_North_and_Central_America/CAN_Canada/AB_Alberta/CAN_AB_Bellshill.AgCM.710100_TMYx.2009-2023.zip</v>
      </c>
    </row>
    <row r="37" spans="1:10" x14ac:dyDescent="0.25">
      <c r="A37" t="s">
        <v>6</v>
      </c>
      <c r="B37" t="s">
        <v>17</v>
      </c>
      <c r="C37" t="s">
        <v>28</v>
      </c>
      <c r="D37">
        <v>710100</v>
      </c>
      <c r="E37" t="s">
        <v>10</v>
      </c>
      <c r="F37">
        <v>52.5822</v>
      </c>
      <c r="G37">
        <v>-111.4653</v>
      </c>
      <c r="H37">
        <v>-7</v>
      </c>
      <c r="I37">
        <v>721</v>
      </c>
      <c r="J37" t="str">
        <f>HYPERLINK("https://climate.onebuilding.org/WMO_Region_4_North_and_Central_America/CAN_Canada/AB_Alberta/CAN_AB_Bellshill.AgCM.710100_TMYx.zip")</f>
        <v>https://climate.onebuilding.org/WMO_Region_4_North_and_Central_America/CAN_Canada/AB_Alberta/CAN_AB_Bellshill.AgCM.710100_TMYx.zip</v>
      </c>
    </row>
    <row r="38" spans="1:10" x14ac:dyDescent="0.25">
      <c r="A38" t="s">
        <v>6</v>
      </c>
      <c r="B38" t="s">
        <v>17</v>
      </c>
      <c r="C38" t="s">
        <v>30</v>
      </c>
      <c r="D38">
        <v>710110</v>
      </c>
      <c r="E38" t="s">
        <v>31</v>
      </c>
      <c r="F38">
        <v>51.982999999999997</v>
      </c>
      <c r="G38">
        <v>-112.8</v>
      </c>
      <c r="H38">
        <v>-8</v>
      </c>
      <c r="I38">
        <v>870</v>
      </c>
      <c r="J38" t="str">
        <f>HYPERLINK("https://climate.onebuilding.org/WMO_Region_4_North_and_Central_America/CAN_Canada/AB_Alberta/CAN_AB_Big.Valley.AgCM.710110_TMYx.2004-2018.zip")</f>
        <v>https://climate.onebuilding.org/WMO_Region_4_North_and_Central_America/CAN_Canada/AB_Alberta/CAN_AB_Big.Valley.AgCM.710110_TMYx.2004-2018.zip</v>
      </c>
    </row>
    <row r="39" spans="1:10" x14ac:dyDescent="0.25">
      <c r="A39" t="s">
        <v>6</v>
      </c>
      <c r="B39" t="s">
        <v>17</v>
      </c>
      <c r="C39" t="s">
        <v>30</v>
      </c>
      <c r="D39">
        <v>710110</v>
      </c>
      <c r="E39" t="s">
        <v>10</v>
      </c>
      <c r="F39">
        <v>51.982999999999997</v>
      </c>
      <c r="G39">
        <v>-112.8</v>
      </c>
      <c r="H39">
        <v>-7</v>
      </c>
      <c r="I39">
        <v>870</v>
      </c>
      <c r="J39" t="str">
        <f>HYPERLINK("https://climate.onebuilding.org/WMO_Region_4_North_and_Central_America/CAN_Canada/AB_Alberta/CAN_AB_Big.Valley.AgCM.710110_TMYx.2007-2021.zip")</f>
        <v>https://climate.onebuilding.org/WMO_Region_4_North_and_Central_America/CAN_Canada/AB_Alberta/CAN_AB_Big.Valley.AgCM.710110_TMYx.2007-2021.zip</v>
      </c>
    </row>
    <row r="40" spans="1:10" x14ac:dyDescent="0.25">
      <c r="A40" t="s">
        <v>6</v>
      </c>
      <c r="B40" t="s">
        <v>17</v>
      </c>
      <c r="C40" t="s">
        <v>30</v>
      </c>
      <c r="D40">
        <v>710110</v>
      </c>
      <c r="E40" t="s">
        <v>10</v>
      </c>
      <c r="F40">
        <v>51.982999999999997</v>
      </c>
      <c r="G40">
        <v>-112.8</v>
      </c>
      <c r="H40">
        <v>-7</v>
      </c>
      <c r="I40">
        <v>870</v>
      </c>
      <c r="J40" t="str">
        <f>HYPERLINK("https://climate.onebuilding.org/WMO_Region_4_North_and_Central_America/CAN_Canada/AB_Alberta/CAN_AB_Big.Valley.AgCM.710110_TMYx.2009-2023.zip")</f>
        <v>https://climate.onebuilding.org/WMO_Region_4_North_and_Central_America/CAN_Canada/AB_Alberta/CAN_AB_Big.Valley.AgCM.710110_TMYx.2009-2023.zip</v>
      </c>
    </row>
    <row r="41" spans="1:10" x14ac:dyDescent="0.25">
      <c r="A41" t="s">
        <v>6</v>
      </c>
      <c r="B41" t="s">
        <v>17</v>
      </c>
      <c r="C41" t="s">
        <v>30</v>
      </c>
      <c r="D41">
        <v>710110</v>
      </c>
      <c r="E41" t="s">
        <v>10</v>
      </c>
      <c r="F41">
        <v>51.982999999999997</v>
      </c>
      <c r="G41">
        <v>-112.8</v>
      </c>
      <c r="H41">
        <v>-7</v>
      </c>
      <c r="I41">
        <v>870</v>
      </c>
      <c r="J41" t="str">
        <f>HYPERLINK("https://climate.onebuilding.org/WMO_Region_4_North_and_Central_America/CAN_Canada/AB_Alberta/CAN_AB_Big.Valley.AgCM.710110_TMYx.zip")</f>
        <v>https://climate.onebuilding.org/WMO_Region_4_North_and_Central_America/CAN_Canada/AB_Alberta/CAN_AB_Big.Valley.AgCM.710110_TMYx.zip</v>
      </c>
    </row>
    <row r="42" spans="1:10" x14ac:dyDescent="0.25">
      <c r="A42" t="s">
        <v>6</v>
      </c>
      <c r="B42" t="s">
        <v>17</v>
      </c>
      <c r="C42" t="s">
        <v>32</v>
      </c>
      <c r="D42">
        <v>710120</v>
      </c>
      <c r="E42" t="s">
        <v>33</v>
      </c>
      <c r="F42">
        <v>52.334200000000003</v>
      </c>
      <c r="G42">
        <v>-110.51</v>
      </c>
      <c r="H42">
        <v>-7</v>
      </c>
      <c r="I42">
        <v>690</v>
      </c>
      <c r="J42" t="str">
        <f>HYPERLINK("https://climate.onebuilding.org/WMO_Region_4_North_and_Central_America/CAN_Canada/AB_Alberta/CAN_AB_Cadogan.AgCM.710120_TMYx.2004-2018.zip")</f>
        <v>https://climate.onebuilding.org/WMO_Region_4_North_and_Central_America/CAN_Canada/AB_Alberta/CAN_AB_Cadogan.AgCM.710120_TMYx.2004-2018.zip</v>
      </c>
    </row>
    <row r="43" spans="1:10" x14ac:dyDescent="0.25">
      <c r="A43" t="s">
        <v>6</v>
      </c>
      <c r="B43" t="s">
        <v>17</v>
      </c>
      <c r="C43" t="s">
        <v>32</v>
      </c>
      <c r="D43">
        <v>710120</v>
      </c>
      <c r="E43" t="s">
        <v>10</v>
      </c>
      <c r="F43">
        <v>52.334200000000003</v>
      </c>
      <c r="G43">
        <v>-110.51</v>
      </c>
      <c r="H43">
        <v>-7</v>
      </c>
      <c r="I43">
        <v>690</v>
      </c>
      <c r="J43" t="str">
        <f>HYPERLINK("https://climate.onebuilding.org/WMO_Region_4_North_and_Central_America/CAN_Canada/AB_Alberta/CAN_AB_Cadogan.AgCM.710120_TMYx.2007-2021.zip")</f>
        <v>https://climate.onebuilding.org/WMO_Region_4_North_and_Central_America/CAN_Canada/AB_Alberta/CAN_AB_Cadogan.AgCM.710120_TMYx.2007-2021.zip</v>
      </c>
    </row>
    <row r="44" spans="1:10" x14ac:dyDescent="0.25">
      <c r="A44" t="s">
        <v>6</v>
      </c>
      <c r="B44" t="s">
        <v>17</v>
      </c>
      <c r="C44" t="s">
        <v>32</v>
      </c>
      <c r="D44">
        <v>710120</v>
      </c>
      <c r="E44" t="s">
        <v>10</v>
      </c>
      <c r="F44">
        <v>52.334200000000003</v>
      </c>
      <c r="G44">
        <v>-110.51</v>
      </c>
      <c r="H44">
        <v>-7</v>
      </c>
      <c r="I44">
        <v>690</v>
      </c>
      <c r="J44" t="str">
        <f>HYPERLINK("https://climate.onebuilding.org/WMO_Region_4_North_and_Central_America/CAN_Canada/AB_Alberta/CAN_AB_Cadogan.AgCM.710120_TMYx.2009-2023.zip")</f>
        <v>https://climate.onebuilding.org/WMO_Region_4_North_and_Central_America/CAN_Canada/AB_Alberta/CAN_AB_Cadogan.AgCM.710120_TMYx.2009-2023.zip</v>
      </c>
    </row>
    <row r="45" spans="1:10" x14ac:dyDescent="0.25">
      <c r="A45" t="s">
        <v>6</v>
      </c>
      <c r="B45" t="s">
        <v>17</v>
      </c>
      <c r="C45" t="s">
        <v>32</v>
      </c>
      <c r="D45">
        <v>710120</v>
      </c>
      <c r="E45" t="s">
        <v>10</v>
      </c>
      <c r="F45">
        <v>52.334200000000003</v>
      </c>
      <c r="G45">
        <v>-110.51</v>
      </c>
      <c r="H45">
        <v>-7</v>
      </c>
      <c r="I45">
        <v>690</v>
      </c>
      <c r="J45" t="str">
        <f>HYPERLINK("https://climate.onebuilding.org/WMO_Region_4_North_and_Central_America/CAN_Canada/AB_Alberta/CAN_AB_Cadogan.AgCM.710120_TMYx.zip")</f>
        <v>https://climate.onebuilding.org/WMO_Region_4_North_and_Central_America/CAN_Canada/AB_Alberta/CAN_AB_Cadogan.AgCM.710120_TMYx.zip</v>
      </c>
    </row>
    <row r="46" spans="1:10" x14ac:dyDescent="0.25">
      <c r="A46" t="s">
        <v>6</v>
      </c>
      <c r="B46" t="s">
        <v>17</v>
      </c>
      <c r="C46" t="s">
        <v>34</v>
      </c>
      <c r="D46">
        <v>710130</v>
      </c>
      <c r="E46" t="s">
        <v>35</v>
      </c>
      <c r="F46">
        <v>51.774999999999999</v>
      </c>
      <c r="G46">
        <v>-112.2522</v>
      </c>
      <c r="H46">
        <v>-7</v>
      </c>
      <c r="I46">
        <v>845</v>
      </c>
      <c r="J46" t="str">
        <f>HYPERLINK("https://climate.onebuilding.org/WMO_Region_4_North_and_Central_America/CAN_Canada/AB_Alberta/CAN_AB_Craigmyle.AgCM.710130_TMYx.2004-2018.zip")</f>
        <v>https://climate.onebuilding.org/WMO_Region_4_North_and_Central_America/CAN_Canada/AB_Alberta/CAN_AB_Craigmyle.AgCM.710130_TMYx.2004-2018.zip</v>
      </c>
    </row>
    <row r="47" spans="1:10" x14ac:dyDescent="0.25">
      <c r="A47" t="s">
        <v>6</v>
      </c>
      <c r="B47" t="s">
        <v>17</v>
      </c>
      <c r="C47" t="s">
        <v>34</v>
      </c>
      <c r="D47">
        <v>710130</v>
      </c>
      <c r="E47" t="s">
        <v>10</v>
      </c>
      <c r="F47">
        <v>51.774999999999999</v>
      </c>
      <c r="G47">
        <v>-112.2522</v>
      </c>
      <c r="H47">
        <v>-7</v>
      </c>
      <c r="I47">
        <v>845</v>
      </c>
      <c r="J47" t="str">
        <f>HYPERLINK("https://climate.onebuilding.org/WMO_Region_4_North_and_Central_America/CAN_Canada/AB_Alberta/CAN_AB_Craigmyle.AgCM.710130_TMYx.2007-2021.zip")</f>
        <v>https://climate.onebuilding.org/WMO_Region_4_North_and_Central_America/CAN_Canada/AB_Alberta/CAN_AB_Craigmyle.AgCM.710130_TMYx.2007-2021.zip</v>
      </c>
    </row>
    <row r="48" spans="1:10" x14ac:dyDescent="0.25">
      <c r="A48" t="s">
        <v>6</v>
      </c>
      <c r="B48" t="s">
        <v>17</v>
      </c>
      <c r="C48" t="s">
        <v>34</v>
      </c>
      <c r="D48">
        <v>710130</v>
      </c>
      <c r="E48" t="s">
        <v>10</v>
      </c>
      <c r="F48">
        <v>51.774999999999999</v>
      </c>
      <c r="G48">
        <v>-112.2522</v>
      </c>
      <c r="H48">
        <v>-7</v>
      </c>
      <c r="I48">
        <v>845</v>
      </c>
      <c r="J48" t="str">
        <f>HYPERLINK("https://climate.onebuilding.org/WMO_Region_4_North_and_Central_America/CAN_Canada/AB_Alberta/CAN_AB_Craigmyle.AgCM.710130_TMYx.2009-2023.zip")</f>
        <v>https://climate.onebuilding.org/WMO_Region_4_North_and_Central_America/CAN_Canada/AB_Alberta/CAN_AB_Craigmyle.AgCM.710130_TMYx.2009-2023.zip</v>
      </c>
    </row>
    <row r="49" spans="1:10" x14ac:dyDescent="0.25">
      <c r="A49" t="s">
        <v>6</v>
      </c>
      <c r="B49" t="s">
        <v>17</v>
      </c>
      <c r="C49" t="s">
        <v>34</v>
      </c>
      <c r="D49">
        <v>710130</v>
      </c>
      <c r="E49" t="s">
        <v>10</v>
      </c>
      <c r="F49">
        <v>51.774999999999999</v>
      </c>
      <c r="G49">
        <v>-112.2522</v>
      </c>
      <c r="H49">
        <v>-7</v>
      </c>
      <c r="I49">
        <v>845</v>
      </c>
      <c r="J49" t="str">
        <f>HYPERLINK("https://climate.onebuilding.org/WMO_Region_4_North_and_Central_America/CAN_Canada/AB_Alberta/CAN_AB_Craigmyle.AgCM.710130_TMYx.zip")</f>
        <v>https://climate.onebuilding.org/WMO_Region_4_North_and_Central_America/CAN_Canada/AB_Alberta/CAN_AB_Craigmyle.AgCM.710130_TMYx.zip</v>
      </c>
    </row>
    <row r="50" spans="1:10" x14ac:dyDescent="0.25">
      <c r="A50" t="s">
        <v>6</v>
      </c>
      <c r="B50" t="s">
        <v>17</v>
      </c>
      <c r="C50" t="s">
        <v>36</v>
      </c>
      <c r="D50">
        <v>710140</v>
      </c>
      <c r="E50" t="s">
        <v>37</v>
      </c>
      <c r="F50">
        <v>52.1828</v>
      </c>
      <c r="G50">
        <v>-113.1756</v>
      </c>
      <c r="H50">
        <v>-7</v>
      </c>
      <c r="I50">
        <v>889</v>
      </c>
      <c r="J50" t="str">
        <f>HYPERLINK("https://climate.onebuilding.org/WMO_Region_4_North_and_Central_America/CAN_Canada/AB_Alberta/CAN_AB_Delburne.AgCM.710140_TMYx.2004-2018.zip")</f>
        <v>https://climate.onebuilding.org/WMO_Region_4_North_and_Central_America/CAN_Canada/AB_Alberta/CAN_AB_Delburne.AgCM.710140_TMYx.2004-2018.zip</v>
      </c>
    </row>
    <row r="51" spans="1:10" x14ac:dyDescent="0.25">
      <c r="A51" t="s">
        <v>6</v>
      </c>
      <c r="B51" t="s">
        <v>17</v>
      </c>
      <c r="C51" t="s">
        <v>36</v>
      </c>
      <c r="D51">
        <v>710140</v>
      </c>
      <c r="E51" t="s">
        <v>10</v>
      </c>
      <c r="F51">
        <v>52.1828</v>
      </c>
      <c r="G51">
        <v>-113.1756</v>
      </c>
      <c r="H51">
        <v>-7</v>
      </c>
      <c r="I51">
        <v>889</v>
      </c>
      <c r="J51" t="str">
        <f>HYPERLINK("https://climate.onebuilding.org/WMO_Region_4_North_and_Central_America/CAN_Canada/AB_Alberta/CAN_AB_Delburne.AgCM.710140_TMYx.2007-2021.zip")</f>
        <v>https://climate.onebuilding.org/WMO_Region_4_North_and_Central_America/CAN_Canada/AB_Alberta/CAN_AB_Delburne.AgCM.710140_TMYx.2007-2021.zip</v>
      </c>
    </row>
    <row r="52" spans="1:10" x14ac:dyDescent="0.25">
      <c r="A52" t="s">
        <v>6</v>
      </c>
      <c r="B52" t="s">
        <v>17</v>
      </c>
      <c r="C52" t="s">
        <v>36</v>
      </c>
      <c r="D52">
        <v>710140</v>
      </c>
      <c r="E52" t="s">
        <v>10</v>
      </c>
      <c r="F52">
        <v>52.1828</v>
      </c>
      <c r="G52">
        <v>-113.1756</v>
      </c>
      <c r="H52">
        <v>-7</v>
      </c>
      <c r="I52">
        <v>889</v>
      </c>
      <c r="J52" t="str">
        <f>HYPERLINK("https://climate.onebuilding.org/WMO_Region_4_North_and_Central_America/CAN_Canada/AB_Alberta/CAN_AB_Delburne.AgCM.710140_TMYx.2009-2023.zip")</f>
        <v>https://climate.onebuilding.org/WMO_Region_4_North_and_Central_America/CAN_Canada/AB_Alberta/CAN_AB_Delburne.AgCM.710140_TMYx.2009-2023.zip</v>
      </c>
    </row>
    <row r="53" spans="1:10" x14ac:dyDescent="0.25">
      <c r="A53" t="s">
        <v>6</v>
      </c>
      <c r="B53" t="s">
        <v>17</v>
      </c>
      <c r="C53" t="s">
        <v>36</v>
      </c>
      <c r="D53">
        <v>710140</v>
      </c>
      <c r="E53" t="s">
        <v>10</v>
      </c>
      <c r="F53">
        <v>52.1828</v>
      </c>
      <c r="G53">
        <v>-113.1756</v>
      </c>
      <c r="H53">
        <v>-7</v>
      </c>
      <c r="I53">
        <v>889</v>
      </c>
      <c r="J53" t="str">
        <f>HYPERLINK("https://climate.onebuilding.org/WMO_Region_4_North_and_Central_America/CAN_Canada/AB_Alberta/CAN_AB_Delburne.AgCM.710140_TMYx.zip")</f>
        <v>https://climate.onebuilding.org/WMO_Region_4_North_and_Central_America/CAN_Canada/AB_Alberta/CAN_AB_Delburne.AgCM.710140_TMYx.zip</v>
      </c>
    </row>
    <row r="54" spans="1:10" x14ac:dyDescent="0.25">
      <c r="A54" t="s">
        <v>6</v>
      </c>
      <c r="B54" t="s">
        <v>17</v>
      </c>
      <c r="C54" t="s">
        <v>38</v>
      </c>
      <c r="D54">
        <v>710150</v>
      </c>
      <c r="E54" t="s">
        <v>39</v>
      </c>
      <c r="F54">
        <v>49.283900000000003</v>
      </c>
      <c r="G54">
        <v>-112.53830000000001</v>
      </c>
      <c r="H54">
        <v>-7</v>
      </c>
      <c r="I54">
        <v>1305</v>
      </c>
      <c r="J54" t="str">
        <f>HYPERLINK("https://climate.onebuilding.org/WMO_Region_4_North_and_Central_America/CAN_Canada/AB_Alberta/CAN_AB_Milk.River.Ridge.Reservoir.710150_TMYx.2004-2018.zip")</f>
        <v>https://climate.onebuilding.org/WMO_Region_4_North_and_Central_America/CAN_Canada/AB_Alberta/CAN_AB_Milk.River.Ridge.Reservoir.710150_TMYx.2004-2018.zip</v>
      </c>
    </row>
    <row r="55" spans="1:10" x14ac:dyDescent="0.25">
      <c r="A55" t="s">
        <v>6</v>
      </c>
      <c r="B55" t="s">
        <v>17</v>
      </c>
      <c r="C55" t="s">
        <v>38</v>
      </c>
      <c r="D55">
        <v>710150</v>
      </c>
      <c r="E55" t="s">
        <v>10</v>
      </c>
      <c r="F55">
        <v>49.283900000000003</v>
      </c>
      <c r="G55">
        <v>-112.53830000000001</v>
      </c>
      <c r="H55">
        <v>-7</v>
      </c>
      <c r="I55">
        <v>1305</v>
      </c>
      <c r="J55" t="str">
        <f>HYPERLINK("https://climate.onebuilding.org/WMO_Region_4_North_and_Central_America/CAN_Canada/AB_Alberta/CAN_AB_Milk.River.Ridge.Reservoir.710150_TMYx.2007-2021.zip")</f>
        <v>https://climate.onebuilding.org/WMO_Region_4_North_and_Central_America/CAN_Canada/AB_Alberta/CAN_AB_Milk.River.Ridge.Reservoir.710150_TMYx.2007-2021.zip</v>
      </c>
    </row>
    <row r="56" spans="1:10" x14ac:dyDescent="0.25">
      <c r="A56" t="s">
        <v>6</v>
      </c>
      <c r="B56" t="s">
        <v>17</v>
      </c>
      <c r="C56" t="s">
        <v>38</v>
      </c>
      <c r="D56">
        <v>710150</v>
      </c>
      <c r="E56" t="s">
        <v>10</v>
      </c>
      <c r="F56">
        <v>49.283900000000003</v>
      </c>
      <c r="G56">
        <v>-112.53830000000001</v>
      </c>
      <c r="H56">
        <v>-7</v>
      </c>
      <c r="I56">
        <v>1305</v>
      </c>
      <c r="J56" t="str">
        <f>HYPERLINK("https://climate.onebuilding.org/WMO_Region_4_North_and_Central_America/CAN_Canada/AB_Alberta/CAN_AB_Milk.River.Ridge.Reservoir.710150_TMYx.2009-2023.zip")</f>
        <v>https://climate.onebuilding.org/WMO_Region_4_North_and_Central_America/CAN_Canada/AB_Alberta/CAN_AB_Milk.River.Ridge.Reservoir.710150_TMYx.2009-2023.zip</v>
      </c>
    </row>
    <row r="57" spans="1:10" x14ac:dyDescent="0.25">
      <c r="A57" t="s">
        <v>6</v>
      </c>
      <c r="B57" t="s">
        <v>17</v>
      </c>
      <c r="C57" t="s">
        <v>38</v>
      </c>
      <c r="D57">
        <v>710150</v>
      </c>
      <c r="E57" t="s">
        <v>10</v>
      </c>
      <c r="F57">
        <v>49.283900000000003</v>
      </c>
      <c r="G57">
        <v>-112.53830000000001</v>
      </c>
      <c r="H57">
        <v>-7</v>
      </c>
      <c r="I57">
        <v>1305</v>
      </c>
      <c r="J57" t="str">
        <f>HYPERLINK("https://climate.onebuilding.org/WMO_Region_4_North_and_Central_America/CAN_Canada/AB_Alberta/CAN_AB_Milk.River.Ridge.Reservoir.710150_TMYx.zip")</f>
        <v>https://climate.onebuilding.org/WMO_Region_4_North_and_Central_America/CAN_Canada/AB_Alberta/CAN_AB_Milk.River.Ridge.Reservoir.710150_TMYx.zip</v>
      </c>
    </row>
    <row r="58" spans="1:10" x14ac:dyDescent="0.25">
      <c r="A58" t="s">
        <v>6</v>
      </c>
      <c r="B58" t="s">
        <v>17</v>
      </c>
      <c r="C58" t="s">
        <v>40</v>
      </c>
      <c r="D58">
        <v>710160</v>
      </c>
      <c r="E58" t="s">
        <v>41</v>
      </c>
      <c r="F58">
        <v>49.152500000000003</v>
      </c>
      <c r="G58">
        <v>-113.5506</v>
      </c>
      <c r="H58">
        <v>-7</v>
      </c>
      <c r="I58">
        <v>1326</v>
      </c>
      <c r="J58" t="str">
        <f>HYPERLINK("https://climate.onebuilding.org/WMO_Region_4_North_and_Central_America/CAN_Canada/AB_Alberta/CAN_AB_Bullhorn.Headwaters.710160_TMYx.2004-2018.zip")</f>
        <v>https://climate.onebuilding.org/WMO_Region_4_North_and_Central_America/CAN_Canada/AB_Alberta/CAN_AB_Bullhorn.Headwaters.710160_TMYx.2004-2018.zip</v>
      </c>
    </row>
    <row r="59" spans="1:10" x14ac:dyDescent="0.25">
      <c r="A59" t="s">
        <v>6</v>
      </c>
      <c r="B59" t="s">
        <v>17</v>
      </c>
      <c r="C59" t="s">
        <v>40</v>
      </c>
      <c r="D59">
        <v>710160</v>
      </c>
      <c r="E59" t="s">
        <v>10</v>
      </c>
      <c r="F59">
        <v>49.152500000000003</v>
      </c>
      <c r="G59">
        <v>-113.5506</v>
      </c>
      <c r="H59">
        <v>-7</v>
      </c>
      <c r="I59">
        <v>1326</v>
      </c>
      <c r="J59" t="str">
        <f>HYPERLINK("https://climate.onebuilding.org/WMO_Region_4_North_and_Central_America/CAN_Canada/AB_Alberta/CAN_AB_Bullhorn.Headwaters.710160_TMYx.2007-2021.zip")</f>
        <v>https://climate.onebuilding.org/WMO_Region_4_North_and_Central_America/CAN_Canada/AB_Alberta/CAN_AB_Bullhorn.Headwaters.710160_TMYx.2007-2021.zip</v>
      </c>
    </row>
    <row r="60" spans="1:10" x14ac:dyDescent="0.25">
      <c r="A60" t="s">
        <v>6</v>
      </c>
      <c r="B60" t="s">
        <v>17</v>
      </c>
      <c r="C60" t="s">
        <v>40</v>
      </c>
      <c r="D60">
        <v>710160</v>
      </c>
      <c r="E60" t="s">
        <v>10</v>
      </c>
      <c r="F60">
        <v>49.152500000000003</v>
      </c>
      <c r="G60">
        <v>-113.5506</v>
      </c>
      <c r="H60">
        <v>-7</v>
      </c>
      <c r="I60">
        <v>1326</v>
      </c>
      <c r="J60" t="str">
        <f>HYPERLINK("https://climate.onebuilding.org/WMO_Region_4_North_and_Central_America/CAN_Canada/AB_Alberta/CAN_AB_Bullhorn.Headwaters.710160_TMYx.2009-2023.zip")</f>
        <v>https://climate.onebuilding.org/WMO_Region_4_North_and_Central_America/CAN_Canada/AB_Alberta/CAN_AB_Bullhorn.Headwaters.710160_TMYx.2009-2023.zip</v>
      </c>
    </row>
    <row r="61" spans="1:10" x14ac:dyDescent="0.25">
      <c r="A61" t="s">
        <v>6</v>
      </c>
      <c r="B61" t="s">
        <v>17</v>
      </c>
      <c r="C61" t="s">
        <v>40</v>
      </c>
      <c r="D61">
        <v>710160</v>
      </c>
      <c r="E61" t="s">
        <v>10</v>
      </c>
      <c r="F61">
        <v>49.152500000000003</v>
      </c>
      <c r="G61">
        <v>-113.5506</v>
      </c>
      <c r="H61">
        <v>-7</v>
      </c>
      <c r="I61">
        <v>1326</v>
      </c>
      <c r="J61" t="str">
        <f>HYPERLINK("https://climate.onebuilding.org/WMO_Region_4_North_and_Central_America/CAN_Canada/AB_Alberta/CAN_AB_Bullhorn.Headwaters.710160_TMYx.zip")</f>
        <v>https://climate.onebuilding.org/WMO_Region_4_North_and_Central_America/CAN_Canada/AB_Alberta/CAN_AB_Bullhorn.Headwaters.710160_TMYx.zip</v>
      </c>
    </row>
    <row r="62" spans="1:10" x14ac:dyDescent="0.25">
      <c r="A62" t="s">
        <v>6</v>
      </c>
      <c r="B62" t="s">
        <v>42</v>
      </c>
      <c r="C62" t="s">
        <v>43</v>
      </c>
      <c r="D62">
        <v>710170</v>
      </c>
      <c r="E62" t="s">
        <v>44</v>
      </c>
      <c r="F62">
        <v>73.75</v>
      </c>
      <c r="G62">
        <v>-105.283</v>
      </c>
      <c r="H62">
        <v>-7</v>
      </c>
      <c r="I62">
        <v>11</v>
      </c>
      <c r="J62" t="str">
        <f>HYPERLINK("https://climate.onebuilding.org/WMO_Region_4_North_and_Central_America/CAN_Canada/NU_Nunavut/CAN_NU_Stefansson.Island.710170_TMYx.2004-2018.zip")</f>
        <v>https://climate.onebuilding.org/WMO_Region_4_North_and_Central_America/CAN_Canada/NU_Nunavut/CAN_NU_Stefansson.Island.710170_TMYx.2004-2018.zip</v>
      </c>
    </row>
    <row r="63" spans="1:10" x14ac:dyDescent="0.25">
      <c r="A63" t="s">
        <v>6</v>
      </c>
      <c r="B63" t="s">
        <v>42</v>
      </c>
      <c r="C63" t="s">
        <v>43</v>
      </c>
      <c r="D63">
        <v>710170</v>
      </c>
      <c r="E63" t="s">
        <v>10</v>
      </c>
      <c r="F63">
        <v>73.75</v>
      </c>
      <c r="G63">
        <v>-105.283</v>
      </c>
      <c r="H63">
        <v>-7</v>
      </c>
      <c r="I63">
        <v>11</v>
      </c>
      <c r="J63" t="str">
        <f>HYPERLINK("https://climate.onebuilding.org/WMO_Region_4_North_and_Central_America/CAN_Canada/NU_Nunavut/CAN_NU_Stefansson.Island.710170_TMYx.2007-2021.zip")</f>
        <v>https://climate.onebuilding.org/WMO_Region_4_North_and_Central_America/CAN_Canada/NU_Nunavut/CAN_NU_Stefansson.Island.710170_TMYx.2007-2021.zip</v>
      </c>
    </row>
    <row r="64" spans="1:10" x14ac:dyDescent="0.25">
      <c r="A64" t="s">
        <v>6</v>
      </c>
      <c r="B64" t="s">
        <v>42</v>
      </c>
      <c r="C64" t="s">
        <v>43</v>
      </c>
      <c r="D64">
        <v>710170</v>
      </c>
      <c r="E64" t="s">
        <v>10</v>
      </c>
      <c r="F64">
        <v>73.75</v>
      </c>
      <c r="G64">
        <v>-105.283</v>
      </c>
      <c r="H64">
        <v>-7</v>
      </c>
      <c r="I64">
        <v>11</v>
      </c>
      <c r="J64" t="str">
        <f>HYPERLINK("https://climate.onebuilding.org/WMO_Region_4_North_and_Central_America/CAN_Canada/NU_Nunavut/CAN_NU_Stefansson.Island.710170_TMYx.2009-2023.zip")</f>
        <v>https://climate.onebuilding.org/WMO_Region_4_North_and_Central_America/CAN_Canada/NU_Nunavut/CAN_NU_Stefansson.Island.710170_TMYx.2009-2023.zip</v>
      </c>
    </row>
    <row r="65" spans="1:10" x14ac:dyDescent="0.25">
      <c r="A65" t="s">
        <v>6</v>
      </c>
      <c r="B65" t="s">
        <v>42</v>
      </c>
      <c r="C65" t="s">
        <v>43</v>
      </c>
      <c r="D65">
        <v>710170</v>
      </c>
      <c r="E65" t="s">
        <v>10</v>
      </c>
      <c r="F65">
        <v>73.75</v>
      </c>
      <c r="G65">
        <v>-105.283</v>
      </c>
      <c r="H65">
        <v>-7</v>
      </c>
      <c r="I65">
        <v>11</v>
      </c>
      <c r="J65" t="str">
        <f>HYPERLINK("https://climate.onebuilding.org/WMO_Region_4_North_and_Central_America/CAN_Canada/NU_Nunavut/CAN_NU_Stefansson.Island.710170_TMYx.zip")</f>
        <v>https://climate.onebuilding.org/WMO_Region_4_North_and_Central_America/CAN_Canada/NU_Nunavut/CAN_NU_Stefansson.Island.710170_TMYx.zip</v>
      </c>
    </row>
    <row r="66" spans="1:10" x14ac:dyDescent="0.25">
      <c r="A66" t="s">
        <v>6</v>
      </c>
      <c r="B66" t="s">
        <v>45</v>
      </c>
      <c r="C66" t="s">
        <v>46</v>
      </c>
      <c r="D66">
        <v>710190</v>
      </c>
      <c r="E66" t="s">
        <v>47</v>
      </c>
      <c r="F66">
        <v>47.157800000000002</v>
      </c>
      <c r="G66">
        <v>-67.831900000000005</v>
      </c>
      <c r="H66">
        <v>-4</v>
      </c>
      <c r="I66">
        <v>245</v>
      </c>
      <c r="J66" t="str">
        <f>HYPERLINK("https://climate.onebuilding.org/WMO_Region_4_North_and_Central_America/CAN_Canada/NB_New_Brunswick/CAN_NB_St.Leonard.AP.710190_TMYx.2004-2018.zip")</f>
        <v>https://climate.onebuilding.org/WMO_Region_4_North_and_Central_America/CAN_Canada/NB_New_Brunswick/CAN_NB_St.Leonard.AP.710190_TMYx.2004-2018.zip</v>
      </c>
    </row>
    <row r="67" spans="1:10" x14ac:dyDescent="0.25">
      <c r="A67" t="s">
        <v>6</v>
      </c>
      <c r="B67" t="s">
        <v>45</v>
      </c>
      <c r="C67" t="s">
        <v>46</v>
      </c>
      <c r="D67">
        <v>710190</v>
      </c>
      <c r="E67" t="s">
        <v>10</v>
      </c>
      <c r="F67">
        <v>47.157800000000002</v>
      </c>
      <c r="G67">
        <v>-67.831900000000005</v>
      </c>
      <c r="H67">
        <v>-4</v>
      </c>
      <c r="I67">
        <v>245</v>
      </c>
      <c r="J67" t="str">
        <f>HYPERLINK("https://climate.onebuilding.org/WMO_Region_4_North_and_Central_America/CAN_Canada/NB_New_Brunswick/CAN_NB_St.Leonard.AP.710190_TMYx.2007-2021.zip")</f>
        <v>https://climate.onebuilding.org/WMO_Region_4_North_and_Central_America/CAN_Canada/NB_New_Brunswick/CAN_NB_St.Leonard.AP.710190_TMYx.2007-2021.zip</v>
      </c>
    </row>
    <row r="68" spans="1:10" x14ac:dyDescent="0.25">
      <c r="A68" t="s">
        <v>6</v>
      </c>
      <c r="B68" t="s">
        <v>45</v>
      </c>
      <c r="C68" t="s">
        <v>46</v>
      </c>
      <c r="D68">
        <v>710190</v>
      </c>
      <c r="E68" t="s">
        <v>10</v>
      </c>
      <c r="F68">
        <v>47.157800000000002</v>
      </c>
      <c r="G68">
        <v>-67.831900000000005</v>
      </c>
      <c r="H68">
        <v>-4</v>
      </c>
      <c r="I68">
        <v>245</v>
      </c>
      <c r="J68" t="str">
        <f>HYPERLINK("https://climate.onebuilding.org/WMO_Region_4_North_and_Central_America/CAN_Canada/NB_New_Brunswick/CAN_NB_St.Leonard.AP.710190_TMYx.2009-2023.zip")</f>
        <v>https://climate.onebuilding.org/WMO_Region_4_North_and_Central_America/CAN_Canada/NB_New_Brunswick/CAN_NB_St.Leonard.AP.710190_TMYx.2009-2023.zip</v>
      </c>
    </row>
    <row r="69" spans="1:10" x14ac:dyDescent="0.25">
      <c r="A69" t="s">
        <v>6</v>
      </c>
      <c r="B69" t="s">
        <v>45</v>
      </c>
      <c r="C69" t="s">
        <v>46</v>
      </c>
      <c r="D69">
        <v>710190</v>
      </c>
      <c r="E69" t="s">
        <v>10</v>
      </c>
      <c r="F69">
        <v>47.157800000000002</v>
      </c>
      <c r="G69">
        <v>-67.831900000000005</v>
      </c>
      <c r="H69">
        <v>-4</v>
      </c>
      <c r="I69">
        <v>245</v>
      </c>
      <c r="J69" t="str">
        <f>HYPERLINK("https://climate.onebuilding.org/WMO_Region_4_North_and_Central_America/CAN_Canada/NB_New_Brunswick/CAN_NB_St.Leonard.AP.710190_TMYx.zip")</f>
        <v>https://climate.onebuilding.org/WMO_Region_4_North_and_Central_America/CAN_Canada/NB_New_Brunswick/CAN_NB_St.Leonard.AP.710190_TMYx.zip</v>
      </c>
    </row>
    <row r="70" spans="1:10" x14ac:dyDescent="0.25">
      <c r="A70" t="s">
        <v>6</v>
      </c>
      <c r="B70" t="s">
        <v>48</v>
      </c>
      <c r="C70" t="s">
        <v>49</v>
      </c>
      <c r="D70">
        <v>710200</v>
      </c>
      <c r="E70" t="s">
        <v>50</v>
      </c>
      <c r="F70">
        <v>61.241900000000001</v>
      </c>
      <c r="G70">
        <v>-123.74169999999999</v>
      </c>
      <c r="H70">
        <v>-7</v>
      </c>
      <c r="I70">
        <v>204</v>
      </c>
      <c r="J70" t="str">
        <f>HYPERLINK("https://climate.onebuilding.org/WMO_Region_4_North_and_Central_America/CAN_Canada/NT_Northwest_Territories/CAN_NT_Yohin.710200_TMYx.2004-2018.zip")</f>
        <v>https://climate.onebuilding.org/WMO_Region_4_North_and_Central_America/CAN_Canada/NT_Northwest_Territories/CAN_NT_Yohin.710200_TMYx.2004-2018.zip</v>
      </c>
    </row>
    <row r="71" spans="1:10" x14ac:dyDescent="0.25">
      <c r="A71" t="s">
        <v>6</v>
      </c>
      <c r="B71" t="s">
        <v>48</v>
      </c>
      <c r="C71" t="s">
        <v>49</v>
      </c>
      <c r="D71">
        <v>710200</v>
      </c>
      <c r="E71" t="s">
        <v>10</v>
      </c>
      <c r="F71">
        <v>61.241900000000001</v>
      </c>
      <c r="G71">
        <v>-123.74169999999999</v>
      </c>
      <c r="H71">
        <v>-7</v>
      </c>
      <c r="I71">
        <v>204</v>
      </c>
      <c r="J71" t="str">
        <f>HYPERLINK("https://climate.onebuilding.org/WMO_Region_4_North_and_Central_America/CAN_Canada/NT_Northwest_Territories/CAN_NT_Yohin.710200_TMYx.2007-2021.zip")</f>
        <v>https://climate.onebuilding.org/WMO_Region_4_North_and_Central_America/CAN_Canada/NT_Northwest_Territories/CAN_NT_Yohin.710200_TMYx.2007-2021.zip</v>
      </c>
    </row>
    <row r="72" spans="1:10" x14ac:dyDescent="0.25">
      <c r="A72" t="s">
        <v>6</v>
      </c>
      <c r="B72" t="s">
        <v>48</v>
      </c>
      <c r="C72" t="s">
        <v>49</v>
      </c>
      <c r="D72">
        <v>710200</v>
      </c>
      <c r="E72" t="s">
        <v>10</v>
      </c>
      <c r="F72">
        <v>61.241900000000001</v>
      </c>
      <c r="G72">
        <v>-123.74169999999999</v>
      </c>
      <c r="H72">
        <v>-7</v>
      </c>
      <c r="I72">
        <v>204</v>
      </c>
      <c r="J72" t="str">
        <f>HYPERLINK("https://climate.onebuilding.org/WMO_Region_4_North_and_Central_America/CAN_Canada/NT_Northwest_Territories/CAN_NT_Yohin.710200_TMYx.2009-2023.zip")</f>
        <v>https://climate.onebuilding.org/WMO_Region_4_North_and_Central_America/CAN_Canada/NT_Northwest_Territories/CAN_NT_Yohin.710200_TMYx.2009-2023.zip</v>
      </c>
    </row>
    <row r="73" spans="1:10" x14ac:dyDescent="0.25">
      <c r="A73" t="s">
        <v>6</v>
      </c>
      <c r="B73" t="s">
        <v>48</v>
      </c>
      <c r="C73" t="s">
        <v>49</v>
      </c>
      <c r="D73">
        <v>710200</v>
      </c>
      <c r="E73" t="s">
        <v>10</v>
      </c>
      <c r="F73">
        <v>61.241900000000001</v>
      </c>
      <c r="G73">
        <v>-123.74169999999999</v>
      </c>
      <c r="H73">
        <v>-7</v>
      </c>
      <c r="I73">
        <v>204</v>
      </c>
      <c r="J73" t="str">
        <f>HYPERLINK("https://climate.onebuilding.org/WMO_Region_4_North_and_Central_America/CAN_Canada/NT_Northwest_Territories/CAN_NT_Yohin.710200_TMYx.zip")</f>
        <v>https://climate.onebuilding.org/WMO_Region_4_North_and_Central_America/CAN_Canada/NT_Northwest_Territories/CAN_NT_Yohin.710200_TMYx.zip</v>
      </c>
    </row>
    <row r="74" spans="1:10" x14ac:dyDescent="0.25">
      <c r="A74" t="s">
        <v>6</v>
      </c>
      <c r="B74" t="s">
        <v>48</v>
      </c>
      <c r="C74" t="s">
        <v>51</v>
      </c>
      <c r="D74">
        <v>710205</v>
      </c>
      <c r="E74" t="s">
        <v>52</v>
      </c>
      <c r="F74">
        <v>64.192300000000003</v>
      </c>
      <c r="G74">
        <v>-114.0757</v>
      </c>
      <c r="H74">
        <v>-7</v>
      </c>
      <c r="I74">
        <v>377</v>
      </c>
      <c r="J74" t="str">
        <f>HYPERLINK("https://climate.onebuilding.org/WMO_Region_4_North_and_Central_America/CAN_Canada/NT_Northwest_Territories/CAN_NT_Wekweeti.AP.710205_TMYx.2004-2018.zip")</f>
        <v>https://climate.onebuilding.org/WMO_Region_4_North_and_Central_America/CAN_Canada/NT_Northwest_Territories/CAN_NT_Wekweeti.AP.710205_TMYx.2004-2018.zip</v>
      </c>
    </row>
    <row r="75" spans="1:10" x14ac:dyDescent="0.25">
      <c r="A75" t="s">
        <v>6</v>
      </c>
      <c r="B75" t="s">
        <v>48</v>
      </c>
      <c r="C75" t="s">
        <v>51</v>
      </c>
      <c r="D75">
        <v>710205</v>
      </c>
      <c r="E75" t="s">
        <v>10</v>
      </c>
      <c r="F75">
        <v>64.192269999999994</v>
      </c>
      <c r="G75">
        <v>-114.0757</v>
      </c>
      <c r="H75">
        <v>-7</v>
      </c>
      <c r="I75">
        <v>377</v>
      </c>
      <c r="J75" t="str">
        <f>HYPERLINK("https://climate.onebuilding.org/WMO_Region_4_North_and_Central_America/CAN_Canada/NT_Northwest_Territories/CAN_NT_Wekweeti.AP.710205_TMYx.2007-2021.zip")</f>
        <v>https://climate.onebuilding.org/WMO_Region_4_North_and_Central_America/CAN_Canada/NT_Northwest_Territories/CAN_NT_Wekweeti.AP.710205_TMYx.2007-2021.zip</v>
      </c>
    </row>
    <row r="76" spans="1:10" x14ac:dyDescent="0.25">
      <c r="A76" t="s">
        <v>6</v>
      </c>
      <c r="B76" t="s">
        <v>48</v>
      </c>
      <c r="C76" t="s">
        <v>51</v>
      </c>
      <c r="D76">
        <v>710205</v>
      </c>
      <c r="E76" t="s">
        <v>10</v>
      </c>
      <c r="F76">
        <v>64.192269999999994</v>
      </c>
      <c r="G76">
        <v>-114.0757</v>
      </c>
      <c r="H76">
        <v>-7</v>
      </c>
      <c r="I76">
        <v>377</v>
      </c>
      <c r="J76" t="str">
        <f>HYPERLINK("https://climate.onebuilding.org/WMO_Region_4_North_and_Central_America/CAN_Canada/NT_Northwest_Territories/CAN_NT_Wekweeti.AP.710205_TMYx.2009-2023.zip")</f>
        <v>https://climate.onebuilding.org/WMO_Region_4_North_and_Central_America/CAN_Canada/NT_Northwest_Territories/CAN_NT_Wekweeti.AP.710205_TMYx.2009-2023.zip</v>
      </c>
    </row>
    <row r="77" spans="1:10" x14ac:dyDescent="0.25">
      <c r="A77" t="s">
        <v>6</v>
      </c>
      <c r="B77" t="s">
        <v>48</v>
      </c>
      <c r="C77" t="s">
        <v>51</v>
      </c>
      <c r="D77">
        <v>710205</v>
      </c>
      <c r="E77" t="s">
        <v>10</v>
      </c>
      <c r="F77">
        <v>64.192269999999994</v>
      </c>
      <c r="G77">
        <v>-114.0757</v>
      </c>
      <c r="H77">
        <v>-7</v>
      </c>
      <c r="I77">
        <v>377</v>
      </c>
      <c r="J77" t="str">
        <f>HYPERLINK("https://climate.onebuilding.org/WMO_Region_4_North_and_Central_America/CAN_Canada/NT_Northwest_Territories/CAN_NT_Wekweeti.AP.710205_TMYx.zip")</f>
        <v>https://climate.onebuilding.org/WMO_Region_4_North_and_Central_America/CAN_Canada/NT_Northwest_Territories/CAN_NT_Wekweeti.AP.710205_TMYx.zip</v>
      </c>
    </row>
    <row r="78" spans="1:10" x14ac:dyDescent="0.25">
      <c r="A78" t="s">
        <v>6</v>
      </c>
      <c r="B78" t="s">
        <v>48</v>
      </c>
      <c r="C78" t="s">
        <v>53</v>
      </c>
      <c r="D78">
        <v>710210</v>
      </c>
      <c r="E78" t="s">
        <v>54</v>
      </c>
      <c r="F78">
        <v>61.256700000000002</v>
      </c>
      <c r="G78">
        <v>-124.4683</v>
      </c>
      <c r="H78">
        <v>-7</v>
      </c>
      <c r="I78">
        <v>283</v>
      </c>
      <c r="J78" t="str">
        <f>HYPERLINK("https://climate.onebuilding.org/WMO_Region_4_North_and_Central_America/CAN_Canada/NT_Northwest_Territories/CAN_NT_Deadmen.Valley.710210_TMYx.2004-2018.zip")</f>
        <v>https://climate.onebuilding.org/WMO_Region_4_North_and_Central_America/CAN_Canada/NT_Northwest_Territories/CAN_NT_Deadmen.Valley.710210_TMYx.2004-2018.zip</v>
      </c>
    </row>
    <row r="79" spans="1:10" x14ac:dyDescent="0.25">
      <c r="A79" t="s">
        <v>6</v>
      </c>
      <c r="B79" t="s">
        <v>48</v>
      </c>
      <c r="C79" t="s">
        <v>53</v>
      </c>
      <c r="D79">
        <v>710210</v>
      </c>
      <c r="E79" t="s">
        <v>10</v>
      </c>
      <c r="F79">
        <v>61.256700000000002</v>
      </c>
      <c r="G79">
        <v>-124.4683</v>
      </c>
      <c r="H79">
        <v>-7</v>
      </c>
      <c r="I79">
        <v>283</v>
      </c>
      <c r="J79" t="str">
        <f>HYPERLINK("https://climate.onebuilding.org/WMO_Region_4_North_and_Central_America/CAN_Canada/NT_Northwest_Territories/CAN_NT_Deadmen.Valley.710210_TMYx.2007-2021.zip")</f>
        <v>https://climate.onebuilding.org/WMO_Region_4_North_and_Central_America/CAN_Canada/NT_Northwest_Territories/CAN_NT_Deadmen.Valley.710210_TMYx.2007-2021.zip</v>
      </c>
    </row>
    <row r="80" spans="1:10" x14ac:dyDescent="0.25">
      <c r="A80" t="s">
        <v>6</v>
      </c>
      <c r="B80" t="s">
        <v>48</v>
      </c>
      <c r="C80" t="s">
        <v>53</v>
      </c>
      <c r="D80">
        <v>710210</v>
      </c>
      <c r="E80" t="s">
        <v>10</v>
      </c>
      <c r="F80">
        <v>61.256700000000002</v>
      </c>
      <c r="G80">
        <v>-124.4683</v>
      </c>
      <c r="H80">
        <v>-7</v>
      </c>
      <c r="I80">
        <v>283</v>
      </c>
      <c r="J80" t="str">
        <f>HYPERLINK("https://climate.onebuilding.org/WMO_Region_4_North_and_Central_America/CAN_Canada/NT_Northwest_Territories/CAN_NT_Deadmen.Valley.710210_TMYx.2009-2023.zip")</f>
        <v>https://climate.onebuilding.org/WMO_Region_4_North_and_Central_America/CAN_Canada/NT_Northwest_Territories/CAN_NT_Deadmen.Valley.710210_TMYx.2009-2023.zip</v>
      </c>
    </row>
    <row r="81" spans="1:10" x14ac:dyDescent="0.25">
      <c r="A81" t="s">
        <v>6</v>
      </c>
      <c r="B81" t="s">
        <v>48</v>
      </c>
      <c r="C81" t="s">
        <v>53</v>
      </c>
      <c r="D81">
        <v>710210</v>
      </c>
      <c r="E81" t="s">
        <v>10</v>
      </c>
      <c r="F81">
        <v>61.256700000000002</v>
      </c>
      <c r="G81">
        <v>-124.4683</v>
      </c>
      <c r="H81">
        <v>-7</v>
      </c>
      <c r="I81">
        <v>283</v>
      </c>
      <c r="J81" t="str">
        <f>HYPERLINK("https://climate.onebuilding.org/WMO_Region_4_North_and_Central_America/CAN_Canada/NT_Northwest_Territories/CAN_NT_Deadmen.Valley.710210_TMYx.zip")</f>
        <v>https://climate.onebuilding.org/WMO_Region_4_North_and_Central_America/CAN_Canada/NT_Northwest_Territories/CAN_NT_Deadmen.Valley.710210_TMYx.zip</v>
      </c>
    </row>
    <row r="82" spans="1:10" x14ac:dyDescent="0.25">
      <c r="A82" t="s">
        <v>6</v>
      </c>
      <c r="B82" t="s">
        <v>55</v>
      </c>
      <c r="C82" t="s">
        <v>56</v>
      </c>
      <c r="D82">
        <v>710220</v>
      </c>
      <c r="E82" t="s">
        <v>57</v>
      </c>
      <c r="F82">
        <v>54.286099999999998</v>
      </c>
      <c r="G82">
        <v>-130.44470000000001</v>
      </c>
      <c r="H82">
        <v>-8</v>
      </c>
      <c r="I82">
        <v>35.4</v>
      </c>
      <c r="J82" t="str">
        <f>HYPERLINK("https://climate.onebuilding.org/WMO_Region_4_North_and_Central_America/CAN_Canada/BC_British_Columbia/CAN_BC_Prince.Rupert.AP-Digby.Island.710220_TMYx.2004-2018.zip")</f>
        <v>https://climate.onebuilding.org/WMO_Region_4_North_and_Central_America/CAN_Canada/BC_British_Columbia/CAN_BC_Prince.Rupert.AP-Digby.Island.710220_TMYx.2004-2018.zip</v>
      </c>
    </row>
    <row r="83" spans="1:10" x14ac:dyDescent="0.25">
      <c r="A83" t="s">
        <v>6</v>
      </c>
      <c r="B83" t="s">
        <v>55</v>
      </c>
      <c r="C83" t="s">
        <v>56</v>
      </c>
      <c r="D83">
        <v>710220</v>
      </c>
      <c r="E83" t="s">
        <v>10</v>
      </c>
      <c r="F83">
        <v>54.286099999999998</v>
      </c>
      <c r="G83">
        <v>-130.44470000000001</v>
      </c>
      <c r="H83">
        <v>-8</v>
      </c>
      <c r="I83">
        <v>35.4</v>
      </c>
      <c r="J83" t="str">
        <f>HYPERLINK("https://climate.onebuilding.org/WMO_Region_4_North_and_Central_America/CAN_Canada/BC_British_Columbia/CAN_BC_Prince.Rupert.AP-Digby.Island.710220_TMYx.2007-2021.zip")</f>
        <v>https://climate.onebuilding.org/WMO_Region_4_North_and_Central_America/CAN_Canada/BC_British_Columbia/CAN_BC_Prince.Rupert.AP-Digby.Island.710220_TMYx.2007-2021.zip</v>
      </c>
    </row>
    <row r="84" spans="1:10" x14ac:dyDescent="0.25">
      <c r="A84" t="s">
        <v>6</v>
      </c>
      <c r="B84" t="s">
        <v>55</v>
      </c>
      <c r="C84" t="s">
        <v>56</v>
      </c>
      <c r="D84">
        <v>710220</v>
      </c>
      <c r="E84" t="s">
        <v>10</v>
      </c>
      <c r="F84">
        <v>54.286099999999998</v>
      </c>
      <c r="G84">
        <v>-130.44470000000001</v>
      </c>
      <c r="H84">
        <v>-8</v>
      </c>
      <c r="I84">
        <v>35.4</v>
      </c>
      <c r="J84" t="str">
        <f>HYPERLINK("https://climate.onebuilding.org/WMO_Region_4_North_and_Central_America/CAN_Canada/BC_British_Columbia/CAN_BC_Prince.Rupert.AP-Digby.Island.710220_TMYx.2009-2023.zip")</f>
        <v>https://climate.onebuilding.org/WMO_Region_4_North_and_Central_America/CAN_Canada/BC_British_Columbia/CAN_BC_Prince.Rupert.AP-Digby.Island.710220_TMYx.2009-2023.zip</v>
      </c>
    </row>
    <row r="85" spans="1:10" x14ac:dyDescent="0.25">
      <c r="A85" t="s">
        <v>6</v>
      </c>
      <c r="B85" t="s">
        <v>55</v>
      </c>
      <c r="C85" t="s">
        <v>56</v>
      </c>
      <c r="D85">
        <v>710220</v>
      </c>
      <c r="E85" t="s">
        <v>10</v>
      </c>
      <c r="F85">
        <v>54.286099999999998</v>
      </c>
      <c r="G85">
        <v>-130.44470000000001</v>
      </c>
      <c r="H85">
        <v>-8</v>
      </c>
      <c r="I85">
        <v>35.4</v>
      </c>
      <c r="J85" t="str">
        <f>HYPERLINK("https://climate.onebuilding.org/WMO_Region_4_North_and_Central_America/CAN_Canada/BC_British_Columbia/CAN_BC_Prince.Rupert.AP-Digby.Island.710220_TMYx.zip")</f>
        <v>https://climate.onebuilding.org/WMO_Region_4_North_and_Central_America/CAN_Canada/BC_British_Columbia/CAN_BC_Prince.Rupert.AP-Digby.Island.710220_TMYx.zip</v>
      </c>
    </row>
    <row r="86" spans="1:10" x14ac:dyDescent="0.25">
      <c r="A86" t="s">
        <v>6</v>
      </c>
      <c r="B86" t="s">
        <v>58</v>
      </c>
      <c r="C86" t="s">
        <v>59</v>
      </c>
      <c r="D86">
        <v>710230</v>
      </c>
      <c r="E86" t="s">
        <v>60</v>
      </c>
      <c r="F86">
        <v>54.908299999999997</v>
      </c>
      <c r="G86">
        <v>-109.9619</v>
      </c>
      <c r="H86">
        <v>-6</v>
      </c>
      <c r="I86">
        <v>637.1</v>
      </c>
      <c r="J86" t="str">
        <f>HYPERLINK("https://climate.onebuilding.org/WMO_Region_4_North_and_Central_America/CAN_Canada/SK_Saskatchewan/CAN_SK_Jimmy.Lake.AWOS.710230_TMYx.2004-2018.zip")</f>
        <v>https://climate.onebuilding.org/WMO_Region_4_North_and_Central_America/CAN_Canada/SK_Saskatchewan/CAN_SK_Jimmy.Lake.AWOS.710230_TMYx.2004-2018.zip</v>
      </c>
    </row>
    <row r="87" spans="1:10" x14ac:dyDescent="0.25">
      <c r="A87" t="s">
        <v>6</v>
      </c>
      <c r="B87" t="s">
        <v>58</v>
      </c>
      <c r="C87" t="s">
        <v>59</v>
      </c>
      <c r="D87">
        <v>710230</v>
      </c>
      <c r="E87" t="s">
        <v>10</v>
      </c>
      <c r="F87">
        <v>54.908299999999997</v>
      </c>
      <c r="G87">
        <v>-109.9619</v>
      </c>
      <c r="H87">
        <v>-6</v>
      </c>
      <c r="I87">
        <v>637.1</v>
      </c>
      <c r="J87" t="str">
        <f>HYPERLINK("https://climate.onebuilding.org/WMO_Region_4_North_and_Central_America/CAN_Canada/SK_Saskatchewan/CAN_SK_Jimmy.Lake.AWOS.710230_TMYx.2007-2021.zip")</f>
        <v>https://climate.onebuilding.org/WMO_Region_4_North_and_Central_America/CAN_Canada/SK_Saskatchewan/CAN_SK_Jimmy.Lake.AWOS.710230_TMYx.2007-2021.zip</v>
      </c>
    </row>
    <row r="88" spans="1:10" x14ac:dyDescent="0.25">
      <c r="A88" t="s">
        <v>6</v>
      </c>
      <c r="B88" t="s">
        <v>58</v>
      </c>
      <c r="C88" t="s">
        <v>59</v>
      </c>
      <c r="D88">
        <v>710230</v>
      </c>
      <c r="E88" t="s">
        <v>10</v>
      </c>
      <c r="F88">
        <v>54.908299999999997</v>
      </c>
      <c r="G88">
        <v>-109.9619</v>
      </c>
      <c r="H88">
        <v>-6</v>
      </c>
      <c r="I88">
        <v>637.1</v>
      </c>
      <c r="J88" t="str">
        <f>HYPERLINK("https://climate.onebuilding.org/WMO_Region_4_North_and_Central_America/CAN_Canada/SK_Saskatchewan/CAN_SK_Jimmy.Lake.AWOS.710230_TMYx.2009-2023.zip")</f>
        <v>https://climate.onebuilding.org/WMO_Region_4_North_and_Central_America/CAN_Canada/SK_Saskatchewan/CAN_SK_Jimmy.Lake.AWOS.710230_TMYx.2009-2023.zip</v>
      </c>
    </row>
    <row r="89" spans="1:10" x14ac:dyDescent="0.25">
      <c r="A89" t="s">
        <v>6</v>
      </c>
      <c r="B89" t="s">
        <v>58</v>
      </c>
      <c r="C89" t="s">
        <v>59</v>
      </c>
      <c r="D89">
        <v>710230</v>
      </c>
      <c r="E89" t="s">
        <v>10</v>
      </c>
      <c r="F89">
        <v>54.908299999999997</v>
      </c>
      <c r="G89">
        <v>-109.9619</v>
      </c>
      <c r="H89">
        <v>-6</v>
      </c>
      <c r="I89">
        <v>637.1</v>
      </c>
      <c r="J89" t="str">
        <f>HYPERLINK("https://climate.onebuilding.org/WMO_Region_4_North_and_Central_America/CAN_Canada/SK_Saskatchewan/CAN_SK_Jimmy.Lake.AWOS.710230_TMYx.zip")</f>
        <v>https://climate.onebuilding.org/WMO_Region_4_North_and_Central_America/CAN_Canada/SK_Saskatchewan/CAN_SK_Jimmy.Lake.AWOS.710230_TMYx.zip</v>
      </c>
    </row>
    <row r="90" spans="1:10" x14ac:dyDescent="0.25">
      <c r="A90" t="s">
        <v>6</v>
      </c>
      <c r="B90" t="s">
        <v>17</v>
      </c>
      <c r="C90" t="s">
        <v>61</v>
      </c>
      <c r="D90">
        <v>710240</v>
      </c>
      <c r="E90" t="s">
        <v>62</v>
      </c>
      <c r="F90">
        <v>58.382199999999997</v>
      </c>
      <c r="G90">
        <v>-116.0403</v>
      </c>
      <c r="H90">
        <v>-7</v>
      </c>
      <c r="I90">
        <v>289</v>
      </c>
      <c r="J90" t="str">
        <f>HYPERLINK("https://climate.onebuilding.org/WMO_Region_4_North_and_Central_America/CAN_Canada/AB_Alberta/CAN_AB_Fort.Vermilion.710240_TMYx.2004-2018.zip")</f>
        <v>https://climate.onebuilding.org/WMO_Region_4_North_and_Central_America/CAN_Canada/AB_Alberta/CAN_AB_Fort.Vermilion.710240_TMYx.2004-2018.zip</v>
      </c>
    </row>
    <row r="91" spans="1:10" x14ac:dyDescent="0.25">
      <c r="A91" t="s">
        <v>6</v>
      </c>
      <c r="B91" t="s">
        <v>17</v>
      </c>
      <c r="C91" t="s">
        <v>61</v>
      </c>
      <c r="D91">
        <v>710240</v>
      </c>
      <c r="E91" t="s">
        <v>10</v>
      </c>
      <c r="F91">
        <v>58.382199999999997</v>
      </c>
      <c r="G91">
        <v>-116.0403</v>
      </c>
      <c r="H91">
        <v>-7</v>
      </c>
      <c r="I91">
        <v>289</v>
      </c>
      <c r="J91" t="str">
        <f>HYPERLINK("https://climate.onebuilding.org/WMO_Region_4_North_and_Central_America/CAN_Canada/AB_Alberta/CAN_AB_Fort.Vermilion.710240_TMYx.2007-2021.zip")</f>
        <v>https://climate.onebuilding.org/WMO_Region_4_North_and_Central_America/CAN_Canada/AB_Alberta/CAN_AB_Fort.Vermilion.710240_TMYx.2007-2021.zip</v>
      </c>
    </row>
    <row r="92" spans="1:10" x14ac:dyDescent="0.25">
      <c r="A92" t="s">
        <v>6</v>
      </c>
      <c r="B92" t="s">
        <v>17</v>
      </c>
      <c r="C92" t="s">
        <v>61</v>
      </c>
      <c r="D92">
        <v>710240</v>
      </c>
      <c r="E92" t="s">
        <v>10</v>
      </c>
      <c r="F92">
        <v>58.382199999999997</v>
      </c>
      <c r="G92">
        <v>-116.0403</v>
      </c>
      <c r="H92">
        <v>-7</v>
      </c>
      <c r="I92">
        <v>289</v>
      </c>
      <c r="J92" t="str">
        <f>HYPERLINK("https://climate.onebuilding.org/WMO_Region_4_North_and_Central_America/CAN_Canada/AB_Alberta/CAN_AB_Fort.Vermilion.710240_TMYx.2009-2023.zip")</f>
        <v>https://climate.onebuilding.org/WMO_Region_4_North_and_Central_America/CAN_Canada/AB_Alberta/CAN_AB_Fort.Vermilion.710240_TMYx.2009-2023.zip</v>
      </c>
    </row>
    <row r="93" spans="1:10" x14ac:dyDescent="0.25">
      <c r="A93" t="s">
        <v>6</v>
      </c>
      <c r="B93" t="s">
        <v>17</v>
      </c>
      <c r="C93" t="s">
        <v>61</v>
      </c>
      <c r="D93">
        <v>710240</v>
      </c>
      <c r="E93" t="s">
        <v>10</v>
      </c>
      <c r="F93">
        <v>58.382199999999997</v>
      </c>
      <c r="G93">
        <v>-116.0403</v>
      </c>
      <c r="H93">
        <v>-7</v>
      </c>
      <c r="I93">
        <v>289</v>
      </c>
      <c r="J93" t="str">
        <f>HYPERLINK("https://climate.onebuilding.org/WMO_Region_4_North_and_Central_America/CAN_Canada/AB_Alberta/CAN_AB_Fort.Vermilion.710240_TMYx.zip")</f>
        <v>https://climate.onebuilding.org/WMO_Region_4_North_and_Central_America/CAN_Canada/AB_Alberta/CAN_AB_Fort.Vermilion.710240_TMYx.zip</v>
      </c>
    </row>
    <row r="94" spans="1:10" x14ac:dyDescent="0.25">
      <c r="A94" t="s">
        <v>6</v>
      </c>
      <c r="B94" t="s">
        <v>17</v>
      </c>
      <c r="C94" t="s">
        <v>63</v>
      </c>
      <c r="D94">
        <v>710260</v>
      </c>
      <c r="E94" t="s">
        <v>64</v>
      </c>
      <c r="F94">
        <v>50.024999999999999</v>
      </c>
      <c r="G94">
        <v>-110.71720000000001</v>
      </c>
      <c r="H94">
        <v>-7</v>
      </c>
      <c r="I94">
        <v>717.4</v>
      </c>
      <c r="J94" t="str">
        <f>HYPERLINK("https://climate.onebuilding.org/WMO_Region_4_North_and_Central_America/CAN_Canada/AB_Alberta/CAN_AB_Medicine.Hat.Rgnl.AP.RCS.710260_TMYx.2004-2018.zip")</f>
        <v>https://climate.onebuilding.org/WMO_Region_4_North_and_Central_America/CAN_Canada/AB_Alberta/CAN_AB_Medicine.Hat.Rgnl.AP.RCS.710260_TMYx.2004-2018.zip</v>
      </c>
    </row>
    <row r="95" spans="1:10" x14ac:dyDescent="0.25">
      <c r="A95" t="s">
        <v>6</v>
      </c>
      <c r="B95" t="s">
        <v>17</v>
      </c>
      <c r="C95" t="s">
        <v>63</v>
      </c>
      <c r="D95">
        <v>710260</v>
      </c>
      <c r="E95" t="s">
        <v>10</v>
      </c>
      <c r="F95">
        <v>50.024999999999999</v>
      </c>
      <c r="G95">
        <v>-110.71720000000001</v>
      </c>
      <c r="H95">
        <v>-7</v>
      </c>
      <c r="I95">
        <v>717.4</v>
      </c>
      <c r="J95" t="str">
        <f>HYPERLINK("https://climate.onebuilding.org/WMO_Region_4_North_and_Central_America/CAN_Canada/AB_Alberta/CAN_AB_Medicine.Hat.Rgnl.AP.RCS.710260_TMYx.2007-2021.zip")</f>
        <v>https://climate.onebuilding.org/WMO_Region_4_North_and_Central_America/CAN_Canada/AB_Alberta/CAN_AB_Medicine.Hat.Rgnl.AP.RCS.710260_TMYx.2007-2021.zip</v>
      </c>
    </row>
    <row r="96" spans="1:10" x14ac:dyDescent="0.25">
      <c r="A96" t="s">
        <v>6</v>
      </c>
      <c r="B96" t="s">
        <v>17</v>
      </c>
      <c r="C96" t="s">
        <v>63</v>
      </c>
      <c r="D96">
        <v>710260</v>
      </c>
      <c r="E96" t="s">
        <v>10</v>
      </c>
      <c r="F96">
        <v>50.024999999999999</v>
      </c>
      <c r="G96">
        <v>-110.71720000000001</v>
      </c>
      <c r="H96">
        <v>-7</v>
      </c>
      <c r="I96">
        <v>717.4</v>
      </c>
      <c r="J96" t="str">
        <f>HYPERLINK("https://climate.onebuilding.org/WMO_Region_4_North_and_Central_America/CAN_Canada/AB_Alberta/CAN_AB_Medicine.Hat.Rgnl.AP.RCS.710260_TMYx.2009-2023.zip")</f>
        <v>https://climate.onebuilding.org/WMO_Region_4_North_and_Central_America/CAN_Canada/AB_Alberta/CAN_AB_Medicine.Hat.Rgnl.AP.RCS.710260_TMYx.2009-2023.zip</v>
      </c>
    </row>
    <row r="97" spans="1:10" x14ac:dyDescent="0.25">
      <c r="A97" t="s">
        <v>6</v>
      </c>
      <c r="B97" t="s">
        <v>17</v>
      </c>
      <c r="C97" t="s">
        <v>63</v>
      </c>
      <c r="D97">
        <v>710260</v>
      </c>
      <c r="E97" t="s">
        <v>10</v>
      </c>
      <c r="F97">
        <v>50.024999999999999</v>
      </c>
      <c r="G97">
        <v>-110.71720000000001</v>
      </c>
      <c r="H97">
        <v>-7</v>
      </c>
      <c r="I97">
        <v>717.4</v>
      </c>
      <c r="J97" t="str">
        <f>HYPERLINK("https://climate.onebuilding.org/WMO_Region_4_North_and_Central_America/CAN_Canada/AB_Alberta/CAN_AB_Medicine.Hat.Rgnl.AP.RCS.710260_TMYx.zip")</f>
        <v>https://climate.onebuilding.org/WMO_Region_4_North_and_Central_America/CAN_Canada/AB_Alberta/CAN_AB_Medicine.Hat.Rgnl.AP.RCS.710260_TMYx.zip</v>
      </c>
    </row>
    <row r="98" spans="1:10" x14ac:dyDescent="0.25">
      <c r="A98" t="s">
        <v>6</v>
      </c>
      <c r="B98" t="s">
        <v>65</v>
      </c>
      <c r="C98" t="s">
        <v>66</v>
      </c>
      <c r="D98">
        <v>710267</v>
      </c>
      <c r="E98" t="s">
        <v>67</v>
      </c>
      <c r="F98">
        <v>46.3</v>
      </c>
      <c r="G98">
        <v>-63.582999999999998</v>
      </c>
      <c r="H98">
        <v>-4</v>
      </c>
      <c r="I98">
        <v>46</v>
      </c>
      <c r="J98" t="str">
        <f>HYPERLINK("https://climate.onebuilding.org/WMO_Region_4_North_and_Central_America/CAN_Canada/PE_Prince_Edward_Island/CAN_PE_Maple.Plains.710267_TMYx.2004-2018.zip")</f>
        <v>https://climate.onebuilding.org/WMO_Region_4_North_and_Central_America/CAN_Canada/PE_Prince_Edward_Island/CAN_PE_Maple.Plains.710267_TMYx.2004-2018.zip</v>
      </c>
    </row>
    <row r="99" spans="1:10" x14ac:dyDescent="0.25">
      <c r="A99" t="s">
        <v>6</v>
      </c>
      <c r="B99" t="s">
        <v>65</v>
      </c>
      <c r="C99" t="s">
        <v>66</v>
      </c>
      <c r="D99">
        <v>710267</v>
      </c>
      <c r="E99" t="s">
        <v>10</v>
      </c>
      <c r="F99">
        <v>46.3</v>
      </c>
      <c r="G99">
        <v>-63.582999999999998</v>
      </c>
      <c r="H99">
        <v>-4</v>
      </c>
      <c r="I99">
        <v>46</v>
      </c>
      <c r="J99" t="str">
        <f>HYPERLINK("https://climate.onebuilding.org/WMO_Region_4_North_and_Central_America/CAN_Canada/PE_Prince_Edward_Island/CAN_PE_Maple.Plains.710267_TMYx.2007-2021.zip")</f>
        <v>https://climate.onebuilding.org/WMO_Region_4_North_and_Central_America/CAN_Canada/PE_Prince_Edward_Island/CAN_PE_Maple.Plains.710267_TMYx.2007-2021.zip</v>
      </c>
    </row>
    <row r="100" spans="1:10" x14ac:dyDescent="0.25">
      <c r="A100" t="s">
        <v>6</v>
      </c>
      <c r="B100" t="s">
        <v>65</v>
      </c>
      <c r="C100" t="s">
        <v>66</v>
      </c>
      <c r="D100">
        <v>710267</v>
      </c>
      <c r="E100" t="s">
        <v>10</v>
      </c>
      <c r="F100">
        <v>46.3</v>
      </c>
      <c r="G100">
        <v>-63.582999999999998</v>
      </c>
      <c r="H100">
        <v>-4</v>
      </c>
      <c r="I100">
        <v>46</v>
      </c>
      <c r="J100" t="str">
        <f>HYPERLINK("https://climate.onebuilding.org/WMO_Region_4_North_and_Central_America/CAN_Canada/PE_Prince_Edward_Island/CAN_PE_Maple.Plains.710267_TMYx.2009-2023.zip")</f>
        <v>https://climate.onebuilding.org/WMO_Region_4_North_and_Central_America/CAN_Canada/PE_Prince_Edward_Island/CAN_PE_Maple.Plains.710267_TMYx.2009-2023.zip</v>
      </c>
    </row>
    <row r="101" spans="1:10" x14ac:dyDescent="0.25">
      <c r="A101" t="s">
        <v>6</v>
      </c>
      <c r="B101" t="s">
        <v>65</v>
      </c>
      <c r="C101" t="s">
        <v>66</v>
      </c>
      <c r="D101">
        <v>710267</v>
      </c>
      <c r="E101" t="s">
        <v>10</v>
      </c>
      <c r="F101">
        <v>46.3</v>
      </c>
      <c r="G101">
        <v>-63.582999999999998</v>
      </c>
      <c r="H101">
        <v>-4</v>
      </c>
      <c r="I101">
        <v>46</v>
      </c>
      <c r="J101" t="str">
        <f>HYPERLINK("https://climate.onebuilding.org/WMO_Region_4_North_and_Central_America/CAN_Canada/PE_Prince_Edward_Island/CAN_PE_Maple.Plains.710267_TMYx.zip")</f>
        <v>https://climate.onebuilding.org/WMO_Region_4_North_and_Central_America/CAN_Canada/PE_Prince_Edward_Island/CAN_PE_Maple.Plains.710267_TMYx.zip</v>
      </c>
    </row>
    <row r="102" spans="1:10" x14ac:dyDescent="0.25">
      <c r="A102" t="s">
        <v>6</v>
      </c>
      <c r="B102" t="s">
        <v>68</v>
      </c>
      <c r="C102" t="s">
        <v>69</v>
      </c>
      <c r="D102">
        <v>710270</v>
      </c>
      <c r="E102" t="s">
        <v>70</v>
      </c>
      <c r="F102">
        <v>46.662799999999997</v>
      </c>
      <c r="G102">
        <v>-60.406399999999998</v>
      </c>
      <c r="H102">
        <v>-4</v>
      </c>
      <c r="I102">
        <v>11</v>
      </c>
      <c r="J102" t="str">
        <f>HYPERLINK("https://climate.onebuilding.org/WMO_Region_4_North_and_Central_America/CAN_Canada/NS_Nova_Scotia/CAN_NS_Ingonish.Beach.710270_TMYx.2004-2018.zip")</f>
        <v>https://climate.onebuilding.org/WMO_Region_4_North_and_Central_America/CAN_Canada/NS_Nova_Scotia/CAN_NS_Ingonish.Beach.710270_TMYx.2004-2018.zip</v>
      </c>
    </row>
    <row r="103" spans="1:10" x14ac:dyDescent="0.25">
      <c r="A103" t="s">
        <v>6</v>
      </c>
      <c r="B103" t="s">
        <v>68</v>
      </c>
      <c r="C103" t="s">
        <v>69</v>
      </c>
      <c r="D103">
        <v>710270</v>
      </c>
      <c r="E103" t="s">
        <v>10</v>
      </c>
      <c r="F103">
        <v>46.662799999999997</v>
      </c>
      <c r="G103">
        <v>-60.406399999999998</v>
      </c>
      <c r="H103">
        <v>-4</v>
      </c>
      <c r="I103">
        <v>11</v>
      </c>
      <c r="J103" t="str">
        <f>HYPERLINK("https://climate.onebuilding.org/WMO_Region_4_North_and_Central_America/CAN_Canada/NS_Nova_Scotia/CAN_NS_Ingonish.Beach.710270_TMYx.2007-2021.zip")</f>
        <v>https://climate.onebuilding.org/WMO_Region_4_North_and_Central_America/CAN_Canada/NS_Nova_Scotia/CAN_NS_Ingonish.Beach.710270_TMYx.2007-2021.zip</v>
      </c>
    </row>
    <row r="104" spans="1:10" x14ac:dyDescent="0.25">
      <c r="A104" t="s">
        <v>6</v>
      </c>
      <c r="B104" t="s">
        <v>68</v>
      </c>
      <c r="C104" t="s">
        <v>69</v>
      </c>
      <c r="D104">
        <v>710270</v>
      </c>
      <c r="E104" t="s">
        <v>10</v>
      </c>
      <c r="F104">
        <v>46.662799999999997</v>
      </c>
      <c r="G104">
        <v>-60.406399999999998</v>
      </c>
      <c r="H104">
        <v>-4</v>
      </c>
      <c r="I104">
        <v>11</v>
      </c>
      <c r="J104" t="str">
        <f>HYPERLINK("https://climate.onebuilding.org/WMO_Region_4_North_and_Central_America/CAN_Canada/NS_Nova_Scotia/CAN_NS_Ingonish.Beach.710270_TMYx.2009-2023.zip")</f>
        <v>https://climate.onebuilding.org/WMO_Region_4_North_and_Central_America/CAN_Canada/NS_Nova_Scotia/CAN_NS_Ingonish.Beach.710270_TMYx.2009-2023.zip</v>
      </c>
    </row>
    <row r="105" spans="1:10" x14ac:dyDescent="0.25">
      <c r="A105" t="s">
        <v>6</v>
      </c>
      <c r="B105" t="s">
        <v>68</v>
      </c>
      <c r="C105" t="s">
        <v>69</v>
      </c>
      <c r="D105">
        <v>710270</v>
      </c>
      <c r="E105" t="s">
        <v>10</v>
      </c>
      <c r="F105">
        <v>46.662799999999997</v>
      </c>
      <c r="G105">
        <v>-60.406399999999998</v>
      </c>
      <c r="H105">
        <v>-4</v>
      </c>
      <c r="I105">
        <v>11</v>
      </c>
      <c r="J105" t="str">
        <f>HYPERLINK("https://climate.onebuilding.org/WMO_Region_4_North_and_Central_America/CAN_Canada/NS_Nova_Scotia/CAN_NS_Ingonish.Beach.710270_TMYx.zip")</f>
        <v>https://climate.onebuilding.org/WMO_Region_4_North_and_Central_America/CAN_Canada/NS_Nova_Scotia/CAN_NS_Ingonish.Beach.710270_TMYx.zip</v>
      </c>
    </row>
    <row r="106" spans="1:10" x14ac:dyDescent="0.25">
      <c r="A106" t="s">
        <v>6</v>
      </c>
      <c r="B106" t="s">
        <v>55</v>
      </c>
      <c r="C106" t="s">
        <v>71</v>
      </c>
      <c r="D106">
        <v>710280</v>
      </c>
      <c r="E106" t="s">
        <v>72</v>
      </c>
      <c r="F106">
        <v>51.674500000000002</v>
      </c>
      <c r="G106">
        <v>-124.40309999999999</v>
      </c>
      <c r="H106">
        <v>-8</v>
      </c>
      <c r="I106">
        <v>876.5</v>
      </c>
      <c r="J106" t="str">
        <f>HYPERLINK("https://climate.onebuilding.org/WMO_Region_4_North_and_Central_America/CAN_Canada/BC_British_Columbia/CAN_BC_Tatlayoko.Lake.RCS.710280_TMYx.2004-2018.zip")</f>
        <v>https://climate.onebuilding.org/WMO_Region_4_North_and_Central_America/CAN_Canada/BC_British_Columbia/CAN_BC_Tatlayoko.Lake.RCS.710280_TMYx.2004-2018.zip</v>
      </c>
    </row>
    <row r="107" spans="1:10" x14ac:dyDescent="0.25">
      <c r="A107" t="s">
        <v>6</v>
      </c>
      <c r="B107" t="s">
        <v>55</v>
      </c>
      <c r="C107" t="s">
        <v>71</v>
      </c>
      <c r="D107">
        <v>710280</v>
      </c>
      <c r="E107" t="s">
        <v>10</v>
      </c>
      <c r="F107">
        <v>51.674500000000002</v>
      </c>
      <c r="G107">
        <v>-124.40309999999999</v>
      </c>
      <c r="H107">
        <v>-8</v>
      </c>
      <c r="I107">
        <v>876.5</v>
      </c>
      <c r="J107" t="str">
        <f>HYPERLINK("https://climate.onebuilding.org/WMO_Region_4_North_and_Central_America/CAN_Canada/BC_British_Columbia/CAN_BC_Tatlayoko.Lake.RCS.710280_TMYx.2007-2021.zip")</f>
        <v>https://climate.onebuilding.org/WMO_Region_4_North_and_Central_America/CAN_Canada/BC_British_Columbia/CAN_BC_Tatlayoko.Lake.RCS.710280_TMYx.2007-2021.zip</v>
      </c>
    </row>
    <row r="108" spans="1:10" x14ac:dyDescent="0.25">
      <c r="A108" t="s">
        <v>6</v>
      </c>
      <c r="B108" t="s">
        <v>55</v>
      </c>
      <c r="C108" t="s">
        <v>71</v>
      </c>
      <c r="D108">
        <v>710280</v>
      </c>
      <c r="E108" t="s">
        <v>10</v>
      </c>
      <c r="F108">
        <v>51.674500000000002</v>
      </c>
      <c r="G108">
        <v>-124.40309999999999</v>
      </c>
      <c r="H108">
        <v>-8</v>
      </c>
      <c r="I108">
        <v>876.5</v>
      </c>
      <c r="J108" t="str">
        <f>HYPERLINK("https://climate.onebuilding.org/WMO_Region_4_North_and_Central_America/CAN_Canada/BC_British_Columbia/CAN_BC_Tatlayoko.Lake.RCS.710280_TMYx.2009-2023.zip")</f>
        <v>https://climate.onebuilding.org/WMO_Region_4_North_and_Central_America/CAN_Canada/BC_British_Columbia/CAN_BC_Tatlayoko.Lake.RCS.710280_TMYx.2009-2023.zip</v>
      </c>
    </row>
    <row r="109" spans="1:10" x14ac:dyDescent="0.25">
      <c r="A109" t="s">
        <v>6</v>
      </c>
      <c r="B109" t="s">
        <v>55</v>
      </c>
      <c r="C109" t="s">
        <v>71</v>
      </c>
      <c r="D109">
        <v>710280</v>
      </c>
      <c r="E109" t="s">
        <v>10</v>
      </c>
      <c r="F109">
        <v>51.674500000000002</v>
      </c>
      <c r="G109">
        <v>-124.40309999999999</v>
      </c>
      <c r="H109">
        <v>-8</v>
      </c>
      <c r="I109">
        <v>876.5</v>
      </c>
      <c r="J109" t="str">
        <f>HYPERLINK("https://climate.onebuilding.org/WMO_Region_4_North_and_Central_America/CAN_Canada/BC_British_Columbia/CAN_BC_Tatlayoko.Lake.RCS.710280_TMYx.zip")</f>
        <v>https://climate.onebuilding.org/WMO_Region_4_North_and_Central_America/CAN_Canada/BC_British_Columbia/CAN_BC_Tatlayoko.Lake.RCS.710280_TMYx.zip</v>
      </c>
    </row>
    <row r="110" spans="1:10" x14ac:dyDescent="0.25">
      <c r="A110" t="s">
        <v>6</v>
      </c>
      <c r="B110" t="s">
        <v>48</v>
      </c>
      <c r="C110" t="s">
        <v>73</v>
      </c>
      <c r="D110">
        <v>710290</v>
      </c>
      <c r="E110" t="s">
        <v>74</v>
      </c>
      <c r="F110">
        <v>70.75</v>
      </c>
      <c r="G110">
        <v>-117.8</v>
      </c>
      <c r="H110">
        <v>-7</v>
      </c>
      <c r="I110">
        <v>30</v>
      </c>
      <c r="J110" t="str">
        <f>HYPERLINK("https://climate.onebuilding.org/WMO_Region_4_North_and_Central_America/CAN_Canada/NT_Northwest_Territories/CAN_NT_Holman.CS.710290_TMYx.2004-2018.zip")</f>
        <v>https://climate.onebuilding.org/WMO_Region_4_North_and_Central_America/CAN_Canada/NT_Northwest_Territories/CAN_NT_Holman.CS.710290_TMYx.2004-2018.zip</v>
      </c>
    </row>
    <row r="111" spans="1:10" x14ac:dyDescent="0.25">
      <c r="A111" t="s">
        <v>6</v>
      </c>
      <c r="B111" t="s">
        <v>48</v>
      </c>
      <c r="C111" t="s">
        <v>73</v>
      </c>
      <c r="D111">
        <v>710290</v>
      </c>
      <c r="E111" t="s">
        <v>10</v>
      </c>
      <c r="F111">
        <v>70.75</v>
      </c>
      <c r="G111">
        <v>-117.8</v>
      </c>
      <c r="H111">
        <v>-7</v>
      </c>
      <c r="I111">
        <v>30</v>
      </c>
      <c r="J111" t="str">
        <f>HYPERLINK("https://climate.onebuilding.org/WMO_Region_4_North_and_Central_America/CAN_Canada/NT_Northwest_Territories/CAN_NT_Holman.CS.710290_TMYx.2007-2021.zip")</f>
        <v>https://climate.onebuilding.org/WMO_Region_4_North_and_Central_America/CAN_Canada/NT_Northwest_Territories/CAN_NT_Holman.CS.710290_TMYx.2007-2021.zip</v>
      </c>
    </row>
    <row r="112" spans="1:10" x14ac:dyDescent="0.25">
      <c r="A112" t="s">
        <v>6</v>
      </c>
      <c r="B112" t="s">
        <v>48</v>
      </c>
      <c r="C112" t="s">
        <v>73</v>
      </c>
      <c r="D112">
        <v>710290</v>
      </c>
      <c r="E112" t="s">
        <v>10</v>
      </c>
      <c r="F112">
        <v>70.75</v>
      </c>
      <c r="G112">
        <v>-117.8</v>
      </c>
      <c r="H112">
        <v>-7</v>
      </c>
      <c r="I112">
        <v>30</v>
      </c>
      <c r="J112" t="str">
        <f>HYPERLINK("https://climate.onebuilding.org/WMO_Region_4_North_and_Central_America/CAN_Canada/NT_Northwest_Territories/CAN_NT_Holman.CS.710290_TMYx.2009-2023.zip")</f>
        <v>https://climate.onebuilding.org/WMO_Region_4_North_and_Central_America/CAN_Canada/NT_Northwest_Territories/CAN_NT_Holman.CS.710290_TMYx.2009-2023.zip</v>
      </c>
    </row>
    <row r="113" spans="1:10" x14ac:dyDescent="0.25">
      <c r="A113" t="s">
        <v>6</v>
      </c>
      <c r="B113" t="s">
        <v>48</v>
      </c>
      <c r="C113" t="s">
        <v>73</v>
      </c>
      <c r="D113">
        <v>710290</v>
      </c>
      <c r="E113" t="s">
        <v>10</v>
      </c>
      <c r="F113">
        <v>70.75</v>
      </c>
      <c r="G113">
        <v>-117.8</v>
      </c>
      <c r="H113">
        <v>-7</v>
      </c>
      <c r="I113">
        <v>30</v>
      </c>
      <c r="J113" t="str">
        <f>HYPERLINK("https://climate.onebuilding.org/WMO_Region_4_North_and_Central_America/CAN_Canada/NT_Northwest_Territories/CAN_NT_Holman.CS.710290_TMYx.zip")</f>
        <v>https://climate.onebuilding.org/WMO_Region_4_North_and_Central_America/CAN_Canada/NT_Northwest_Territories/CAN_NT_Holman.CS.710290_TMYx.zip</v>
      </c>
    </row>
    <row r="114" spans="1:10" x14ac:dyDescent="0.25">
      <c r="A114" t="s">
        <v>6</v>
      </c>
      <c r="B114" t="s">
        <v>45</v>
      </c>
      <c r="C114" t="s">
        <v>75</v>
      </c>
      <c r="D114">
        <v>710300</v>
      </c>
      <c r="E114" t="s">
        <v>76</v>
      </c>
      <c r="F114">
        <v>44.7</v>
      </c>
      <c r="G114">
        <v>-66.8</v>
      </c>
      <c r="H114">
        <v>-4</v>
      </c>
      <c r="I114">
        <v>78</v>
      </c>
      <c r="J114" t="str">
        <f>HYPERLINK("https://climate.onebuilding.org/WMO_Region_4_North_and_Central_America/CAN_Canada/NB_New_Brunswick/CAN_NB_Grand.Manan.AP.710300_TMYx.2004-2018.zip")</f>
        <v>https://climate.onebuilding.org/WMO_Region_4_North_and_Central_America/CAN_Canada/NB_New_Brunswick/CAN_NB_Grand.Manan.AP.710300_TMYx.2004-2018.zip</v>
      </c>
    </row>
    <row r="115" spans="1:10" x14ac:dyDescent="0.25">
      <c r="A115" t="s">
        <v>6</v>
      </c>
      <c r="B115" t="s">
        <v>45</v>
      </c>
      <c r="C115" t="s">
        <v>75</v>
      </c>
      <c r="D115">
        <v>710300</v>
      </c>
      <c r="E115" t="s">
        <v>10</v>
      </c>
      <c r="F115">
        <v>44.7</v>
      </c>
      <c r="G115">
        <v>-66.8</v>
      </c>
      <c r="H115">
        <v>-4</v>
      </c>
      <c r="I115">
        <v>78</v>
      </c>
      <c r="J115" t="str">
        <f>HYPERLINK("https://climate.onebuilding.org/WMO_Region_4_North_and_Central_America/CAN_Canada/NB_New_Brunswick/CAN_NB_Grand.Manan.AP.710300_TMYx.2007-2021.zip")</f>
        <v>https://climate.onebuilding.org/WMO_Region_4_North_and_Central_America/CAN_Canada/NB_New_Brunswick/CAN_NB_Grand.Manan.AP.710300_TMYx.2007-2021.zip</v>
      </c>
    </row>
    <row r="116" spans="1:10" x14ac:dyDescent="0.25">
      <c r="A116" t="s">
        <v>6</v>
      </c>
      <c r="B116" t="s">
        <v>45</v>
      </c>
      <c r="C116" t="s">
        <v>75</v>
      </c>
      <c r="D116">
        <v>710300</v>
      </c>
      <c r="E116" t="s">
        <v>10</v>
      </c>
      <c r="F116">
        <v>44.7</v>
      </c>
      <c r="G116">
        <v>-66.8</v>
      </c>
      <c r="H116">
        <v>-4</v>
      </c>
      <c r="I116">
        <v>78</v>
      </c>
      <c r="J116" t="str">
        <f>HYPERLINK("https://climate.onebuilding.org/WMO_Region_4_North_and_Central_America/CAN_Canada/NB_New_Brunswick/CAN_NB_Grand.Manan.AP.710300_TMYx.2009-2023.zip")</f>
        <v>https://climate.onebuilding.org/WMO_Region_4_North_and_Central_America/CAN_Canada/NB_New_Brunswick/CAN_NB_Grand.Manan.AP.710300_TMYx.2009-2023.zip</v>
      </c>
    </row>
    <row r="117" spans="1:10" x14ac:dyDescent="0.25">
      <c r="A117" t="s">
        <v>6</v>
      </c>
      <c r="B117" t="s">
        <v>45</v>
      </c>
      <c r="C117" t="s">
        <v>75</v>
      </c>
      <c r="D117">
        <v>710300</v>
      </c>
      <c r="E117" t="s">
        <v>10</v>
      </c>
      <c r="F117">
        <v>44.7</v>
      </c>
      <c r="G117">
        <v>-66.8</v>
      </c>
      <c r="H117">
        <v>-4</v>
      </c>
      <c r="I117">
        <v>78</v>
      </c>
      <c r="J117" t="str">
        <f>HYPERLINK("https://climate.onebuilding.org/WMO_Region_4_North_and_Central_America/CAN_Canada/NB_New_Brunswick/CAN_NB_Grand.Manan.AP.710300_TMYx.zip")</f>
        <v>https://climate.onebuilding.org/WMO_Region_4_North_and_Central_America/CAN_Canada/NB_New_Brunswick/CAN_NB_Grand.Manan.AP.710300_TMYx.zip</v>
      </c>
    </row>
    <row r="118" spans="1:10" x14ac:dyDescent="0.25">
      <c r="A118" t="s">
        <v>6</v>
      </c>
      <c r="B118" t="s">
        <v>55</v>
      </c>
      <c r="C118" t="s">
        <v>77</v>
      </c>
      <c r="D118">
        <v>710310</v>
      </c>
      <c r="E118" t="s">
        <v>78</v>
      </c>
      <c r="F118">
        <v>48.424700000000001</v>
      </c>
      <c r="G118">
        <v>-123.22580000000001</v>
      </c>
      <c r="H118">
        <v>-8</v>
      </c>
      <c r="I118">
        <v>27.5</v>
      </c>
      <c r="J118" t="str">
        <f>HYPERLINK("https://climate.onebuilding.org/WMO_Region_4_North_and_Central_America/CAN_Canada/BC_British_Columbia/CAN_BC_Discovery.Island.710310_TMYx.2004-2018.zip")</f>
        <v>https://climate.onebuilding.org/WMO_Region_4_North_and_Central_America/CAN_Canada/BC_British_Columbia/CAN_BC_Discovery.Island.710310_TMYx.2004-2018.zip</v>
      </c>
    </row>
    <row r="119" spans="1:10" x14ac:dyDescent="0.25">
      <c r="A119" t="s">
        <v>6</v>
      </c>
      <c r="B119" t="s">
        <v>55</v>
      </c>
      <c r="C119" t="s">
        <v>77</v>
      </c>
      <c r="D119">
        <v>710310</v>
      </c>
      <c r="E119" t="s">
        <v>10</v>
      </c>
      <c r="F119">
        <v>48.424700000000001</v>
      </c>
      <c r="G119">
        <v>-123.22580000000001</v>
      </c>
      <c r="H119">
        <v>-8</v>
      </c>
      <c r="I119">
        <v>27.5</v>
      </c>
      <c r="J119" t="str">
        <f>HYPERLINK("https://climate.onebuilding.org/WMO_Region_4_North_and_Central_America/CAN_Canada/BC_British_Columbia/CAN_BC_Discovery.Island.710310_TMYx.2007-2021.zip")</f>
        <v>https://climate.onebuilding.org/WMO_Region_4_North_and_Central_America/CAN_Canada/BC_British_Columbia/CAN_BC_Discovery.Island.710310_TMYx.2007-2021.zip</v>
      </c>
    </row>
    <row r="120" spans="1:10" x14ac:dyDescent="0.25">
      <c r="A120" t="s">
        <v>6</v>
      </c>
      <c r="B120" t="s">
        <v>55</v>
      </c>
      <c r="C120" t="s">
        <v>77</v>
      </c>
      <c r="D120">
        <v>710310</v>
      </c>
      <c r="E120" t="s">
        <v>10</v>
      </c>
      <c r="F120">
        <v>48.424700000000001</v>
      </c>
      <c r="G120">
        <v>-123.22580000000001</v>
      </c>
      <c r="H120">
        <v>-8</v>
      </c>
      <c r="I120">
        <v>27.5</v>
      </c>
      <c r="J120" t="str">
        <f>HYPERLINK("https://climate.onebuilding.org/WMO_Region_4_North_and_Central_America/CAN_Canada/BC_British_Columbia/CAN_BC_Discovery.Island.710310_TMYx.2009-2023.zip")</f>
        <v>https://climate.onebuilding.org/WMO_Region_4_North_and_Central_America/CAN_Canada/BC_British_Columbia/CAN_BC_Discovery.Island.710310_TMYx.2009-2023.zip</v>
      </c>
    </row>
    <row r="121" spans="1:10" x14ac:dyDescent="0.25">
      <c r="A121" t="s">
        <v>6</v>
      </c>
      <c r="B121" t="s">
        <v>55</v>
      </c>
      <c r="C121" t="s">
        <v>77</v>
      </c>
      <c r="D121">
        <v>710310</v>
      </c>
      <c r="E121" t="s">
        <v>10</v>
      </c>
      <c r="F121">
        <v>48.424700000000001</v>
      </c>
      <c r="G121">
        <v>-123.22580000000001</v>
      </c>
      <c r="H121">
        <v>-8</v>
      </c>
      <c r="I121">
        <v>27.5</v>
      </c>
      <c r="J121" t="str">
        <f>HYPERLINK("https://climate.onebuilding.org/WMO_Region_4_North_and_Central_America/CAN_Canada/BC_British_Columbia/CAN_BC_Discovery.Island.710310_TMYx.zip")</f>
        <v>https://climate.onebuilding.org/WMO_Region_4_North_and_Central_America/CAN_Canada/BC_British_Columbia/CAN_BC_Discovery.Island.710310_TMYx.zip</v>
      </c>
    </row>
    <row r="122" spans="1:10" x14ac:dyDescent="0.25">
      <c r="A122" t="s">
        <v>6</v>
      </c>
      <c r="B122" t="s">
        <v>55</v>
      </c>
      <c r="C122" t="s">
        <v>79</v>
      </c>
      <c r="D122">
        <v>710320</v>
      </c>
      <c r="E122" t="s">
        <v>80</v>
      </c>
      <c r="F122">
        <v>49.465000000000003</v>
      </c>
      <c r="G122">
        <v>-120.51</v>
      </c>
      <c r="H122">
        <v>-8</v>
      </c>
      <c r="I122">
        <v>698</v>
      </c>
      <c r="J122" t="str">
        <f>HYPERLINK("https://climate.onebuilding.org/WMO_Region_4_North_and_Central_America/CAN_Canada/BC_British_Columbia/CAN_BC_Princeton.Rgnl.AP.710320_TMYx.2004-2018.zip")</f>
        <v>https://climate.onebuilding.org/WMO_Region_4_North_and_Central_America/CAN_Canada/BC_British_Columbia/CAN_BC_Princeton.Rgnl.AP.710320_TMYx.2004-2018.zip</v>
      </c>
    </row>
    <row r="123" spans="1:10" x14ac:dyDescent="0.25">
      <c r="A123" t="s">
        <v>6</v>
      </c>
      <c r="B123" t="s">
        <v>55</v>
      </c>
      <c r="C123" t="s">
        <v>79</v>
      </c>
      <c r="D123">
        <v>710320</v>
      </c>
      <c r="E123" t="s">
        <v>10</v>
      </c>
      <c r="F123">
        <v>49.465000000000003</v>
      </c>
      <c r="G123">
        <v>-120.51</v>
      </c>
      <c r="H123">
        <v>-8</v>
      </c>
      <c r="I123">
        <v>698</v>
      </c>
      <c r="J123" t="str">
        <f>HYPERLINK("https://climate.onebuilding.org/WMO_Region_4_North_and_Central_America/CAN_Canada/BC_British_Columbia/CAN_BC_Princeton.Rgnl.AP.710320_TMYx.2007-2021.zip")</f>
        <v>https://climate.onebuilding.org/WMO_Region_4_North_and_Central_America/CAN_Canada/BC_British_Columbia/CAN_BC_Princeton.Rgnl.AP.710320_TMYx.2007-2021.zip</v>
      </c>
    </row>
    <row r="124" spans="1:10" x14ac:dyDescent="0.25">
      <c r="A124" t="s">
        <v>6</v>
      </c>
      <c r="B124" t="s">
        <v>55</v>
      </c>
      <c r="C124" t="s">
        <v>79</v>
      </c>
      <c r="D124">
        <v>710320</v>
      </c>
      <c r="E124" t="s">
        <v>10</v>
      </c>
      <c r="F124">
        <v>49.465000000000003</v>
      </c>
      <c r="G124">
        <v>-120.51</v>
      </c>
      <c r="H124">
        <v>-8</v>
      </c>
      <c r="I124">
        <v>698</v>
      </c>
      <c r="J124" t="str">
        <f>HYPERLINK("https://climate.onebuilding.org/WMO_Region_4_North_and_Central_America/CAN_Canada/BC_British_Columbia/CAN_BC_Princeton.Rgnl.AP.710320_TMYx.2009-2023.zip")</f>
        <v>https://climate.onebuilding.org/WMO_Region_4_North_and_Central_America/CAN_Canada/BC_British_Columbia/CAN_BC_Princeton.Rgnl.AP.710320_TMYx.2009-2023.zip</v>
      </c>
    </row>
    <row r="125" spans="1:10" x14ac:dyDescent="0.25">
      <c r="A125" t="s">
        <v>6</v>
      </c>
      <c r="B125" t="s">
        <v>55</v>
      </c>
      <c r="C125" t="s">
        <v>79</v>
      </c>
      <c r="D125">
        <v>710320</v>
      </c>
      <c r="E125" t="s">
        <v>10</v>
      </c>
      <c r="F125">
        <v>49.465000000000003</v>
      </c>
      <c r="G125">
        <v>-120.51</v>
      </c>
      <c r="H125">
        <v>-8</v>
      </c>
      <c r="I125">
        <v>698</v>
      </c>
      <c r="J125" t="str">
        <f>HYPERLINK("https://climate.onebuilding.org/WMO_Region_4_North_and_Central_America/CAN_Canada/BC_British_Columbia/CAN_BC_Princeton.Rgnl.AP.710320_TMYx.zip")</f>
        <v>https://climate.onebuilding.org/WMO_Region_4_North_and_Central_America/CAN_Canada/BC_British_Columbia/CAN_BC_Princeton.Rgnl.AP.710320_TMYx.zip</v>
      </c>
    </row>
    <row r="126" spans="1:10" x14ac:dyDescent="0.25">
      <c r="A126" t="s">
        <v>6</v>
      </c>
      <c r="B126" t="s">
        <v>58</v>
      </c>
      <c r="C126" t="s">
        <v>81</v>
      </c>
      <c r="D126">
        <v>710330</v>
      </c>
      <c r="E126" t="s">
        <v>82</v>
      </c>
      <c r="F126">
        <v>57.25</v>
      </c>
      <c r="G126">
        <v>-105.6</v>
      </c>
      <c r="H126">
        <v>-6</v>
      </c>
      <c r="I126">
        <v>513.9</v>
      </c>
      <c r="J126" t="str">
        <f>HYPERLINK("https://climate.onebuilding.org/WMO_Region_4_North_and_Central_America/CAN_Canada/SK_Saskatchewan/CAN_SK_Key.Lake.AP.710330_TMYx.2004-2018.zip")</f>
        <v>https://climate.onebuilding.org/WMO_Region_4_North_and_Central_America/CAN_Canada/SK_Saskatchewan/CAN_SK_Key.Lake.AP.710330_TMYx.2004-2018.zip</v>
      </c>
    </row>
    <row r="127" spans="1:10" x14ac:dyDescent="0.25">
      <c r="A127" t="s">
        <v>6</v>
      </c>
      <c r="B127" t="s">
        <v>58</v>
      </c>
      <c r="C127" t="s">
        <v>81</v>
      </c>
      <c r="D127">
        <v>710330</v>
      </c>
      <c r="E127" t="s">
        <v>10</v>
      </c>
      <c r="F127">
        <v>57.25</v>
      </c>
      <c r="G127">
        <v>-105.6</v>
      </c>
      <c r="H127">
        <v>-6</v>
      </c>
      <c r="I127">
        <v>513.9</v>
      </c>
      <c r="J127" t="str">
        <f>HYPERLINK("https://climate.onebuilding.org/WMO_Region_4_North_and_Central_America/CAN_Canada/SK_Saskatchewan/CAN_SK_Key.Lake.AP.710330_TMYx.2007-2021.zip")</f>
        <v>https://climate.onebuilding.org/WMO_Region_4_North_and_Central_America/CAN_Canada/SK_Saskatchewan/CAN_SK_Key.Lake.AP.710330_TMYx.2007-2021.zip</v>
      </c>
    </row>
    <row r="128" spans="1:10" x14ac:dyDescent="0.25">
      <c r="A128" t="s">
        <v>6</v>
      </c>
      <c r="B128" t="s">
        <v>58</v>
      </c>
      <c r="C128" t="s">
        <v>81</v>
      </c>
      <c r="D128">
        <v>710330</v>
      </c>
      <c r="E128" t="s">
        <v>10</v>
      </c>
      <c r="F128">
        <v>57.25</v>
      </c>
      <c r="G128">
        <v>-105.6</v>
      </c>
      <c r="H128">
        <v>-6</v>
      </c>
      <c r="I128">
        <v>513.9</v>
      </c>
      <c r="J128" t="str">
        <f>HYPERLINK("https://climate.onebuilding.org/WMO_Region_4_North_and_Central_America/CAN_Canada/SK_Saskatchewan/CAN_SK_Key.Lake.AP.710330_TMYx.2009-2023.zip")</f>
        <v>https://climate.onebuilding.org/WMO_Region_4_North_and_Central_America/CAN_Canada/SK_Saskatchewan/CAN_SK_Key.Lake.AP.710330_TMYx.2009-2023.zip</v>
      </c>
    </row>
    <row r="129" spans="1:10" x14ac:dyDescent="0.25">
      <c r="A129" t="s">
        <v>6</v>
      </c>
      <c r="B129" t="s">
        <v>58</v>
      </c>
      <c r="C129" t="s">
        <v>81</v>
      </c>
      <c r="D129">
        <v>710330</v>
      </c>
      <c r="E129" t="s">
        <v>10</v>
      </c>
      <c r="F129">
        <v>57.25</v>
      </c>
      <c r="G129">
        <v>-105.6</v>
      </c>
      <c r="H129">
        <v>-6</v>
      </c>
      <c r="I129">
        <v>513.9</v>
      </c>
      <c r="J129" t="str">
        <f>HYPERLINK("https://climate.onebuilding.org/WMO_Region_4_North_and_Central_America/CAN_Canada/SK_Saskatchewan/CAN_SK_Key.Lake.AP.710330_TMYx.zip")</f>
        <v>https://climate.onebuilding.org/WMO_Region_4_North_and_Central_America/CAN_Canada/SK_Saskatchewan/CAN_SK_Key.Lake.AP.710330_TMYx.zip</v>
      </c>
    </row>
    <row r="130" spans="1:10" x14ac:dyDescent="0.25">
      <c r="A130" t="s">
        <v>6</v>
      </c>
      <c r="B130" t="s">
        <v>55</v>
      </c>
      <c r="C130" t="s">
        <v>83</v>
      </c>
      <c r="D130">
        <v>710348</v>
      </c>
      <c r="E130" t="s">
        <v>84</v>
      </c>
      <c r="F130">
        <v>55.686999999999998</v>
      </c>
      <c r="G130">
        <v>-121.627</v>
      </c>
      <c r="H130">
        <v>-7</v>
      </c>
      <c r="I130">
        <v>609.6</v>
      </c>
      <c r="J130" t="str">
        <f>HYPERLINK("https://climate.onebuilding.org/WMO_Region_4_North_and_Central_America/CAN_Canada/BC_British_Columbia/CAN_BC_Chetwynd.AP.710348_TMYx.2004-2018.zip")</f>
        <v>https://climate.onebuilding.org/WMO_Region_4_North_and_Central_America/CAN_Canada/BC_British_Columbia/CAN_BC_Chetwynd.AP.710348_TMYx.2004-2018.zip</v>
      </c>
    </row>
    <row r="131" spans="1:10" x14ac:dyDescent="0.25">
      <c r="A131" t="s">
        <v>6</v>
      </c>
      <c r="B131" t="s">
        <v>55</v>
      </c>
      <c r="C131" t="s">
        <v>83</v>
      </c>
      <c r="D131">
        <v>710348</v>
      </c>
      <c r="E131" t="s">
        <v>10</v>
      </c>
      <c r="F131">
        <v>55.686999999999998</v>
      </c>
      <c r="G131">
        <v>-121.627</v>
      </c>
      <c r="H131">
        <v>-7</v>
      </c>
      <c r="I131">
        <v>609.6</v>
      </c>
      <c r="J131" t="str">
        <f>HYPERLINK("https://climate.onebuilding.org/WMO_Region_4_North_and_Central_America/CAN_Canada/BC_British_Columbia/CAN_BC_Chetwynd.AP.710348_TMYx.2007-2021.zip")</f>
        <v>https://climate.onebuilding.org/WMO_Region_4_North_and_Central_America/CAN_Canada/BC_British_Columbia/CAN_BC_Chetwynd.AP.710348_TMYx.2007-2021.zip</v>
      </c>
    </row>
    <row r="132" spans="1:10" x14ac:dyDescent="0.25">
      <c r="A132" t="s">
        <v>6</v>
      </c>
      <c r="B132" t="s">
        <v>55</v>
      </c>
      <c r="C132" t="s">
        <v>83</v>
      </c>
      <c r="D132">
        <v>710348</v>
      </c>
      <c r="E132" t="s">
        <v>10</v>
      </c>
      <c r="F132">
        <v>55.686999999999998</v>
      </c>
      <c r="G132">
        <v>-121.627</v>
      </c>
      <c r="H132">
        <v>-7</v>
      </c>
      <c r="I132">
        <v>609.6</v>
      </c>
      <c r="J132" t="str">
        <f>HYPERLINK("https://climate.onebuilding.org/WMO_Region_4_North_and_Central_America/CAN_Canada/BC_British_Columbia/CAN_BC_Chetwynd.AP.710348_TMYx.2009-2023.zip")</f>
        <v>https://climate.onebuilding.org/WMO_Region_4_North_and_Central_America/CAN_Canada/BC_British_Columbia/CAN_BC_Chetwynd.AP.710348_TMYx.2009-2023.zip</v>
      </c>
    </row>
    <row r="133" spans="1:10" x14ac:dyDescent="0.25">
      <c r="A133" t="s">
        <v>6</v>
      </c>
      <c r="B133" t="s">
        <v>55</v>
      </c>
      <c r="C133" t="s">
        <v>83</v>
      </c>
      <c r="D133">
        <v>710348</v>
      </c>
      <c r="E133" t="s">
        <v>10</v>
      </c>
      <c r="F133">
        <v>55.686999999999998</v>
      </c>
      <c r="G133">
        <v>-121.627</v>
      </c>
      <c r="H133">
        <v>-7</v>
      </c>
      <c r="I133">
        <v>609.6</v>
      </c>
      <c r="J133" t="str">
        <f>HYPERLINK("https://climate.onebuilding.org/WMO_Region_4_North_and_Central_America/CAN_Canada/BC_British_Columbia/CAN_BC_Chetwynd.AP.710348_TMYx.zip")</f>
        <v>https://climate.onebuilding.org/WMO_Region_4_North_and_Central_America/CAN_Canada/BC_British_Columbia/CAN_BC_Chetwynd.AP.710348_TMYx.zip</v>
      </c>
    </row>
    <row r="134" spans="1:10" x14ac:dyDescent="0.25">
      <c r="A134" t="s">
        <v>6</v>
      </c>
      <c r="B134" t="s">
        <v>11</v>
      </c>
      <c r="C134" t="s">
        <v>85</v>
      </c>
      <c r="D134">
        <v>710349</v>
      </c>
      <c r="E134" t="s">
        <v>86</v>
      </c>
      <c r="F134">
        <v>55.082999999999998</v>
      </c>
      <c r="G134">
        <v>-59.183</v>
      </c>
      <c r="H134">
        <v>-4</v>
      </c>
      <c r="I134">
        <v>71</v>
      </c>
      <c r="J134" t="str">
        <f>HYPERLINK("https://climate.onebuilding.org/WMO_Region_4_North_and_Central_America/CAN_Canada/NL_Newfoundland_and_Labrador/CAN_NL_Makkovik.AP.710349_TMYx.2004-2018.zip")</f>
        <v>https://climate.onebuilding.org/WMO_Region_4_North_and_Central_America/CAN_Canada/NL_Newfoundland_and_Labrador/CAN_NL_Makkovik.AP.710349_TMYx.2004-2018.zip</v>
      </c>
    </row>
    <row r="135" spans="1:10" x14ac:dyDescent="0.25">
      <c r="A135" t="s">
        <v>6</v>
      </c>
      <c r="B135" t="s">
        <v>11</v>
      </c>
      <c r="C135" t="s">
        <v>85</v>
      </c>
      <c r="D135">
        <v>710349</v>
      </c>
      <c r="E135" t="s">
        <v>10</v>
      </c>
      <c r="F135">
        <v>55.082999999999998</v>
      </c>
      <c r="G135">
        <v>-59.183</v>
      </c>
      <c r="H135">
        <v>-4</v>
      </c>
      <c r="I135">
        <v>71</v>
      </c>
      <c r="J135" t="str">
        <f>HYPERLINK("https://climate.onebuilding.org/WMO_Region_4_North_and_Central_America/CAN_Canada/NL_Newfoundland_and_Labrador/CAN_NL_Makkovik.AP.710349_TMYx.2007-2021.zip")</f>
        <v>https://climate.onebuilding.org/WMO_Region_4_North_and_Central_America/CAN_Canada/NL_Newfoundland_and_Labrador/CAN_NL_Makkovik.AP.710349_TMYx.2007-2021.zip</v>
      </c>
    </row>
    <row r="136" spans="1:10" x14ac:dyDescent="0.25">
      <c r="A136" t="s">
        <v>6</v>
      </c>
      <c r="B136" t="s">
        <v>11</v>
      </c>
      <c r="C136" t="s">
        <v>85</v>
      </c>
      <c r="D136">
        <v>710349</v>
      </c>
      <c r="E136" t="s">
        <v>10</v>
      </c>
      <c r="F136">
        <v>55.082999999999998</v>
      </c>
      <c r="G136">
        <v>-59.183</v>
      </c>
      <c r="H136">
        <v>-4</v>
      </c>
      <c r="I136">
        <v>71</v>
      </c>
      <c r="J136" t="str">
        <f>HYPERLINK("https://climate.onebuilding.org/WMO_Region_4_North_and_Central_America/CAN_Canada/NL_Newfoundland_and_Labrador/CAN_NL_Makkovik.AP.710349_TMYx.2009-2023.zip")</f>
        <v>https://climate.onebuilding.org/WMO_Region_4_North_and_Central_America/CAN_Canada/NL_Newfoundland_and_Labrador/CAN_NL_Makkovik.AP.710349_TMYx.2009-2023.zip</v>
      </c>
    </row>
    <row r="137" spans="1:10" x14ac:dyDescent="0.25">
      <c r="A137" t="s">
        <v>6</v>
      </c>
      <c r="B137" t="s">
        <v>11</v>
      </c>
      <c r="C137" t="s">
        <v>85</v>
      </c>
      <c r="D137">
        <v>710349</v>
      </c>
      <c r="E137" t="s">
        <v>10</v>
      </c>
      <c r="F137">
        <v>55.082999999999998</v>
      </c>
      <c r="G137">
        <v>-59.183</v>
      </c>
      <c r="H137">
        <v>-4</v>
      </c>
      <c r="I137">
        <v>71</v>
      </c>
      <c r="J137" t="str">
        <f>HYPERLINK("https://climate.onebuilding.org/WMO_Region_4_North_and_Central_America/CAN_Canada/NL_Newfoundland_and_Labrador/CAN_NL_Makkovik.AP.710349_TMYx.zip")</f>
        <v>https://climate.onebuilding.org/WMO_Region_4_North_and_Central_America/CAN_Canada/NL_Newfoundland_and_Labrador/CAN_NL_Makkovik.AP.710349_TMYx.zip</v>
      </c>
    </row>
    <row r="138" spans="1:10" x14ac:dyDescent="0.25">
      <c r="A138" t="s">
        <v>6</v>
      </c>
      <c r="B138" t="s">
        <v>17</v>
      </c>
      <c r="C138" t="s">
        <v>87</v>
      </c>
      <c r="D138">
        <v>710350</v>
      </c>
      <c r="E138" t="s">
        <v>88</v>
      </c>
      <c r="F138">
        <v>51.618899999999996</v>
      </c>
      <c r="G138">
        <v>-113.65560000000001</v>
      </c>
      <c r="H138">
        <v>-7</v>
      </c>
      <c r="I138">
        <v>914</v>
      </c>
      <c r="J138" t="str">
        <f>HYPERLINK("https://climate.onebuilding.org/WMO_Region_4_North_and_Central_America/CAN_Canada/AB_Alberta/CAN_AB_Linden.AgCM.710350_TMYx.2004-2018.zip")</f>
        <v>https://climate.onebuilding.org/WMO_Region_4_North_and_Central_America/CAN_Canada/AB_Alberta/CAN_AB_Linden.AgCM.710350_TMYx.2004-2018.zip</v>
      </c>
    </row>
    <row r="139" spans="1:10" x14ac:dyDescent="0.25">
      <c r="A139" t="s">
        <v>6</v>
      </c>
      <c r="B139" t="s">
        <v>17</v>
      </c>
      <c r="C139" t="s">
        <v>87</v>
      </c>
      <c r="D139">
        <v>710350</v>
      </c>
      <c r="E139" t="s">
        <v>10</v>
      </c>
      <c r="F139">
        <v>51.618899999999996</v>
      </c>
      <c r="G139">
        <v>-113.65560000000001</v>
      </c>
      <c r="H139">
        <v>-7</v>
      </c>
      <c r="I139">
        <v>914</v>
      </c>
      <c r="J139" t="str">
        <f>HYPERLINK("https://climate.onebuilding.org/WMO_Region_4_North_and_Central_America/CAN_Canada/AB_Alberta/CAN_AB_Linden.AgCM.710350_TMYx.2007-2021.zip")</f>
        <v>https://climate.onebuilding.org/WMO_Region_4_North_and_Central_America/CAN_Canada/AB_Alberta/CAN_AB_Linden.AgCM.710350_TMYx.2007-2021.zip</v>
      </c>
    </row>
    <row r="140" spans="1:10" x14ac:dyDescent="0.25">
      <c r="A140" t="s">
        <v>6</v>
      </c>
      <c r="B140" t="s">
        <v>17</v>
      </c>
      <c r="C140" t="s">
        <v>87</v>
      </c>
      <c r="D140">
        <v>710350</v>
      </c>
      <c r="E140" t="s">
        <v>10</v>
      </c>
      <c r="F140">
        <v>51.618899999999996</v>
      </c>
      <c r="G140">
        <v>-113.65560000000001</v>
      </c>
      <c r="H140">
        <v>-7</v>
      </c>
      <c r="I140">
        <v>914</v>
      </c>
      <c r="J140" t="str">
        <f>HYPERLINK("https://climate.onebuilding.org/WMO_Region_4_North_and_Central_America/CAN_Canada/AB_Alberta/CAN_AB_Linden.AgCM.710350_TMYx.2009-2023.zip")</f>
        <v>https://climate.onebuilding.org/WMO_Region_4_North_and_Central_America/CAN_Canada/AB_Alberta/CAN_AB_Linden.AgCM.710350_TMYx.2009-2023.zip</v>
      </c>
    </row>
    <row r="141" spans="1:10" x14ac:dyDescent="0.25">
      <c r="A141" t="s">
        <v>6</v>
      </c>
      <c r="B141" t="s">
        <v>17</v>
      </c>
      <c r="C141" t="s">
        <v>87</v>
      </c>
      <c r="D141">
        <v>710350</v>
      </c>
      <c r="E141" t="s">
        <v>10</v>
      </c>
      <c r="F141">
        <v>51.618899999999996</v>
      </c>
      <c r="G141">
        <v>-113.65560000000001</v>
      </c>
      <c r="H141">
        <v>-7</v>
      </c>
      <c r="I141">
        <v>914</v>
      </c>
      <c r="J141" t="str">
        <f>HYPERLINK("https://climate.onebuilding.org/WMO_Region_4_North_and_Central_America/CAN_Canada/AB_Alberta/CAN_AB_Linden.AgCM.710350_TMYx.zip")</f>
        <v>https://climate.onebuilding.org/WMO_Region_4_North_and_Central_America/CAN_Canada/AB_Alberta/CAN_AB_Linden.AgCM.710350_TMYx.zip</v>
      </c>
    </row>
    <row r="142" spans="1:10" x14ac:dyDescent="0.25">
      <c r="A142" t="s">
        <v>6</v>
      </c>
      <c r="B142" t="s">
        <v>14</v>
      </c>
      <c r="C142" t="s">
        <v>89</v>
      </c>
      <c r="D142">
        <v>710351</v>
      </c>
      <c r="E142" t="s">
        <v>10</v>
      </c>
      <c r="F142">
        <v>46.408999999999999</v>
      </c>
      <c r="G142">
        <v>-74.78</v>
      </c>
      <c r="H142">
        <v>-5</v>
      </c>
      <c r="I142">
        <v>252.1</v>
      </c>
      <c r="J142" t="str">
        <f>HYPERLINK("https://climate.onebuilding.org/WMO_Region_4_North_and_Central_America/CAN_Canada/QC_Quebec/CAN_QC_Mont.Tremblant.Intl.AP.710351_TMYx.zip")</f>
        <v>https://climate.onebuilding.org/WMO_Region_4_North_and_Central_America/CAN_Canada/QC_Quebec/CAN_QC_Mont.Tremblant.Intl.AP.710351_TMYx.zip</v>
      </c>
    </row>
    <row r="143" spans="1:10" x14ac:dyDescent="0.25">
      <c r="A143" t="s">
        <v>6</v>
      </c>
      <c r="B143" t="s">
        <v>55</v>
      </c>
      <c r="C143" t="s">
        <v>90</v>
      </c>
      <c r="D143">
        <v>710354</v>
      </c>
      <c r="E143" t="s">
        <v>10</v>
      </c>
      <c r="F143">
        <v>51.298999999999999</v>
      </c>
      <c r="G143">
        <v>-116.982</v>
      </c>
      <c r="H143">
        <v>-7</v>
      </c>
      <c r="I143">
        <v>784.9</v>
      </c>
      <c r="J143" t="str">
        <f>HYPERLINK("https://climate.onebuilding.org/WMO_Region_4_North_and_Central_America/CAN_Canada/BC_British_Columbia/CAN_BC_Golden.AP.710354_TMYx.2007-2021.zip")</f>
        <v>https://climate.onebuilding.org/WMO_Region_4_North_and_Central_America/CAN_Canada/BC_British_Columbia/CAN_BC_Golden.AP.710354_TMYx.2007-2021.zip</v>
      </c>
    </row>
    <row r="144" spans="1:10" x14ac:dyDescent="0.25">
      <c r="A144" t="s">
        <v>6</v>
      </c>
      <c r="B144" t="s">
        <v>55</v>
      </c>
      <c r="C144" t="s">
        <v>90</v>
      </c>
      <c r="D144">
        <v>710354</v>
      </c>
      <c r="E144" t="s">
        <v>10</v>
      </c>
      <c r="F144">
        <v>51.298999999999999</v>
      </c>
      <c r="G144">
        <v>-116.982</v>
      </c>
      <c r="H144">
        <v>-7</v>
      </c>
      <c r="I144">
        <v>784.9</v>
      </c>
      <c r="J144" t="str">
        <f>HYPERLINK("https://climate.onebuilding.org/WMO_Region_4_North_and_Central_America/CAN_Canada/BC_British_Columbia/CAN_BC_Golden.AP.710354_TMYx.2009-2023.zip")</f>
        <v>https://climate.onebuilding.org/WMO_Region_4_North_and_Central_America/CAN_Canada/BC_British_Columbia/CAN_BC_Golden.AP.710354_TMYx.2009-2023.zip</v>
      </c>
    </row>
    <row r="145" spans="1:10" x14ac:dyDescent="0.25">
      <c r="A145" t="s">
        <v>6</v>
      </c>
      <c r="B145" t="s">
        <v>55</v>
      </c>
      <c r="C145" t="s">
        <v>90</v>
      </c>
      <c r="D145">
        <v>710354</v>
      </c>
      <c r="E145" t="s">
        <v>10</v>
      </c>
      <c r="F145">
        <v>51.298999999999999</v>
      </c>
      <c r="G145">
        <v>-116.982</v>
      </c>
      <c r="H145">
        <v>-7</v>
      </c>
      <c r="I145">
        <v>784.9</v>
      </c>
      <c r="J145" t="str">
        <f>HYPERLINK("https://climate.onebuilding.org/WMO_Region_4_North_and_Central_America/CAN_Canada/BC_British_Columbia/CAN_BC_Golden.AP.710354_TMYx.zip")</f>
        <v>https://climate.onebuilding.org/WMO_Region_4_North_and_Central_America/CAN_Canada/BC_British_Columbia/CAN_BC_Golden.AP.710354_TMYx.zip</v>
      </c>
    </row>
    <row r="146" spans="1:10" x14ac:dyDescent="0.25">
      <c r="A146" t="s">
        <v>6</v>
      </c>
      <c r="B146" t="s">
        <v>48</v>
      </c>
      <c r="C146" t="s">
        <v>91</v>
      </c>
      <c r="D146">
        <v>710356</v>
      </c>
      <c r="E146" t="s">
        <v>10</v>
      </c>
      <c r="F146">
        <v>64.7</v>
      </c>
      <c r="G146">
        <v>-110.617</v>
      </c>
      <c r="H146">
        <v>-7</v>
      </c>
      <c r="I146">
        <v>469</v>
      </c>
      <c r="J146" t="str">
        <f>HYPERLINK("https://climate.onebuilding.org/WMO_Region_4_North_and_Central_America/CAN_Canada/NT_Northwest_Territories/CAN_NT_Ekati.AP.710356_TMYx.2007-2021.zip")</f>
        <v>https://climate.onebuilding.org/WMO_Region_4_North_and_Central_America/CAN_Canada/NT_Northwest_Territories/CAN_NT_Ekati.AP.710356_TMYx.2007-2021.zip</v>
      </c>
    </row>
    <row r="147" spans="1:10" x14ac:dyDescent="0.25">
      <c r="A147" t="s">
        <v>6</v>
      </c>
      <c r="B147" t="s">
        <v>48</v>
      </c>
      <c r="C147" t="s">
        <v>91</v>
      </c>
      <c r="D147">
        <v>710356</v>
      </c>
      <c r="E147" t="s">
        <v>10</v>
      </c>
      <c r="F147">
        <v>64.7</v>
      </c>
      <c r="G147">
        <v>-110.617</v>
      </c>
      <c r="H147">
        <v>-7</v>
      </c>
      <c r="I147">
        <v>469</v>
      </c>
      <c r="J147" t="str">
        <f>HYPERLINK("https://climate.onebuilding.org/WMO_Region_4_North_and_Central_America/CAN_Canada/NT_Northwest_Territories/CAN_NT_Ekati.AP.710356_TMYx.2009-2023.zip")</f>
        <v>https://climate.onebuilding.org/WMO_Region_4_North_and_Central_America/CAN_Canada/NT_Northwest_Territories/CAN_NT_Ekati.AP.710356_TMYx.2009-2023.zip</v>
      </c>
    </row>
    <row r="148" spans="1:10" x14ac:dyDescent="0.25">
      <c r="A148" t="s">
        <v>6</v>
      </c>
      <c r="B148" t="s">
        <v>48</v>
      </c>
      <c r="C148" t="s">
        <v>91</v>
      </c>
      <c r="D148">
        <v>710356</v>
      </c>
      <c r="E148" t="s">
        <v>10</v>
      </c>
      <c r="F148">
        <v>64.7</v>
      </c>
      <c r="G148">
        <v>-110.617</v>
      </c>
      <c r="H148">
        <v>-7</v>
      </c>
      <c r="I148">
        <v>469</v>
      </c>
      <c r="J148" t="str">
        <f>HYPERLINK("https://climate.onebuilding.org/WMO_Region_4_North_and_Central_America/CAN_Canada/NT_Northwest_Territories/CAN_NT_Ekati.AP.710356_TMYx.zip")</f>
        <v>https://climate.onebuilding.org/WMO_Region_4_North_and_Central_America/CAN_Canada/NT_Northwest_Territories/CAN_NT_Ekati.AP.710356_TMYx.zip</v>
      </c>
    </row>
    <row r="149" spans="1:10" x14ac:dyDescent="0.25">
      <c r="A149" t="s">
        <v>6</v>
      </c>
      <c r="B149" t="s">
        <v>14</v>
      </c>
      <c r="C149" t="s">
        <v>92</v>
      </c>
      <c r="D149">
        <v>710359</v>
      </c>
      <c r="E149" t="s">
        <v>93</v>
      </c>
      <c r="F149">
        <v>45.27</v>
      </c>
      <c r="G149">
        <v>-72.17</v>
      </c>
      <c r="H149">
        <v>-5</v>
      </c>
      <c r="I149">
        <v>209</v>
      </c>
      <c r="J149" t="str">
        <f>HYPERLINK("https://climate.onebuilding.org/WMO_Region_4_North_and_Central_America/CAN_Canada/QC_Quebec/CAN_QC_Lac.Memphremagog.710359_TMYx.2004-2018.zip")</f>
        <v>https://climate.onebuilding.org/WMO_Region_4_North_and_Central_America/CAN_Canada/QC_Quebec/CAN_QC_Lac.Memphremagog.710359_TMYx.2004-2018.zip</v>
      </c>
    </row>
    <row r="150" spans="1:10" x14ac:dyDescent="0.25">
      <c r="A150" t="s">
        <v>6</v>
      </c>
      <c r="B150" t="s">
        <v>14</v>
      </c>
      <c r="C150" t="s">
        <v>92</v>
      </c>
      <c r="D150">
        <v>710359</v>
      </c>
      <c r="E150" t="s">
        <v>10</v>
      </c>
      <c r="F150">
        <v>45.27</v>
      </c>
      <c r="G150">
        <v>-72.17</v>
      </c>
      <c r="H150">
        <v>-5</v>
      </c>
      <c r="I150">
        <v>209</v>
      </c>
      <c r="J150" t="str">
        <f>HYPERLINK("https://climate.onebuilding.org/WMO_Region_4_North_and_Central_America/CAN_Canada/QC_Quebec/CAN_QC_Lac.Memphremagog.710359_TMYx.2007-2021.zip")</f>
        <v>https://climate.onebuilding.org/WMO_Region_4_North_and_Central_America/CAN_Canada/QC_Quebec/CAN_QC_Lac.Memphremagog.710359_TMYx.2007-2021.zip</v>
      </c>
    </row>
    <row r="151" spans="1:10" x14ac:dyDescent="0.25">
      <c r="A151" t="s">
        <v>6</v>
      </c>
      <c r="B151" t="s">
        <v>14</v>
      </c>
      <c r="C151" t="s">
        <v>92</v>
      </c>
      <c r="D151">
        <v>710359</v>
      </c>
      <c r="E151" t="s">
        <v>10</v>
      </c>
      <c r="F151">
        <v>45.27</v>
      </c>
      <c r="G151">
        <v>-72.17</v>
      </c>
      <c r="H151">
        <v>-5</v>
      </c>
      <c r="I151">
        <v>209</v>
      </c>
      <c r="J151" t="str">
        <f>HYPERLINK("https://climate.onebuilding.org/WMO_Region_4_North_and_Central_America/CAN_Canada/QC_Quebec/CAN_QC_Lac.Memphremagog.710359_TMYx.2009-2023.zip")</f>
        <v>https://climate.onebuilding.org/WMO_Region_4_North_and_Central_America/CAN_Canada/QC_Quebec/CAN_QC_Lac.Memphremagog.710359_TMYx.2009-2023.zip</v>
      </c>
    </row>
    <row r="152" spans="1:10" x14ac:dyDescent="0.25">
      <c r="A152" t="s">
        <v>6</v>
      </c>
      <c r="B152" t="s">
        <v>14</v>
      </c>
      <c r="C152" t="s">
        <v>92</v>
      </c>
      <c r="D152">
        <v>710359</v>
      </c>
      <c r="E152" t="s">
        <v>10</v>
      </c>
      <c r="F152">
        <v>45.27</v>
      </c>
      <c r="G152">
        <v>-72.17</v>
      </c>
      <c r="H152">
        <v>-5</v>
      </c>
      <c r="I152">
        <v>209</v>
      </c>
      <c r="J152" t="str">
        <f>HYPERLINK("https://climate.onebuilding.org/WMO_Region_4_North_and_Central_America/CAN_Canada/QC_Quebec/CAN_QC_Lac.Memphremagog.710359_TMYx.zip")</f>
        <v>https://climate.onebuilding.org/WMO_Region_4_North_and_Central_America/CAN_Canada/QC_Quebec/CAN_QC_Lac.Memphremagog.710359_TMYx.zip</v>
      </c>
    </row>
    <row r="153" spans="1:10" x14ac:dyDescent="0.25">
      <c r="A153" t="s">
        <v>6</v>
      </c>
      <c r="B153" t="s">
        <v>94</v>
      </c>
      <c r="C153" t="s">
        <v>95</v>
      </c>
      <c r="D153">
        <v>710360</v>
      </c>
      <c r="E153" t="s">
        <v>10</v>
      </c>
      <c r="F153">
        <v>51.1008</v>
      </c>
      <c r="G153">
        <v>-100.05249999999999</v>
      </c>
      <c r="H153">
        <v>-6</v>
      </c>
      <c r="I153">
        <v>304.5</v>
      </c>
      <c r="J153" t="str">
        <f>HYPERLINK("https://climate.onebuilding.org/WMO_Region_4_North_and_Central_America/CAN_Canada/MB_Manitoba/CAN_MB_Dauphin-Barker.AP.710360_TMYx.2007-2021.zip")</f>
        <v>https://climate.onebuilding.org/WMO_Region_4_North_and_Central_America/CAN_Canada/MB_Manitoba/CAN_MB_Dauphin-Barker.AP.710360_TMYx.2007-2021.zip</v>
      </c>
    </row>
    <row r="154" spans="1:10" x14ac:dyDescent="0.25">
      <c r="A154" t="s">
        <v>6</v>
      </c>
      <c r="B154" t="s">
        <v>94</v>
      </c>
      <c r="C154" t="s">
        <v>95</v>
      </c>
      <c r="D154">
        <v>710360</v>
      </c>
      <c r="E154" t="s">
        <v>10</v>
      </c>
      <c r="F154">
        <v>51.1008</v>
      </c>
      <c r="G154">
        <v>-100.05249999999999</v>
      </c>
      <c r="H154">
        <v>-6</v>
      </c>
      <c r="I154">
        <v>304.5</v>
      </c>
      <c r="J154" t="str">
        <f>HYPERLINK("https://climate.onebuilding.org/WMO_Region_4_North_and_Central_America/CAN_Canada/MB_Manitoba/CAN_MB_Dauphin-Barker.AP.710360_TMYx.2009-2023.zip")</f>
        <v>https://climate.onebuilding.org/WMO_Region_4_North_and_Central_America/CAN_Canada/MB_Manitoba/CAN_MB_Dauphin-Barker.AP.710360_TMYx.2009-2023.zip</v>
      </c>
    </row>
    <row r="155" spans="1:10" x14ac:dyDescent="0.25">
      <c r="A155" t="s">
        <v>6</v>
      </c>
      <c r="B155" t="s">
        <v>94</v>
      </c>
      <c r="C155" t="s">
        <v>95</v>
      </c>
      <c r="D155">
        <v>710360</v>
      </c>
      <c r="E155" t="s">
        <v>10</v>
      </c>
      <c r="F155">
        <v>51.1008</v>
      </c>
      <c r="G155">
        <v>-100.05249999999999</v>
      </c>
      <c r="H155">
        <v>-6</v>
      </c>
      <c r="I155">
        <v>304.5</v>
      </c>
      <c r="J155" t="str">
        <f>HYPERLINK("https://climate.onebuilding.org/WMO_Region_4_North_and_Central_America/CAN_Canada/MB_Manitoba/CAN_MB_Dauphin-Barker.AP.710360_TMYx.zip")</f>
        <v>https://climate.onebuilding.org/WMO_Region_4_North_and_Central_America/CAN_Canada/MB_Manitoba/CAN_MB_Dauphin-Barker.AP.710360_TMYx.zip</v>
      </c>
    </row>
    <row r="156" spans="1:10" x14ac:dyDescent="0.25">
      <c r="A156" t="s">
        <v>6</v>
      </c>
      <c r="B156" t="s">
        <v>14</v>
      </c>
      <c r="C156" t="s">
        <v>96</v>
      </c>
      <c r="D156">
        <v>710367</v>
      </c>
      <c r="E156" t="s">
        <v>97</v>
      </c>
      <c r="F156">
        <v>45.366999999999997</v>
      </c>
      <c r="G156">
        <v>-72.766999999999996</v>
      </c>
      <c r="H156">
        <v>-5</v>
      </c>
      <c r="I156">
        <v>86</v>
      </c>
      <c r="J156" t="str">
        <f>HYPERLINK("https://climate.onebuilding.org/WMO_Region_4_North_and_Central_America/CAN_Canada/QC_Quebec/CAN_QC_Granby.710367_TMYx.2004-2018.zip")</f>
        <v>https://climate.onebuilding.org/WMO_Region_4_North_and_Central_America/CAN_Canada/QC_Quebec/CAN_QC_Granby.710367_TMYx.2004-2018.zip</v>
      </c>
    </row>
    <row r="157" spans="1:10" x14ac:dyDescent="0.25">
      <c r="A157" t="s">
        <v>6</v>
      </c>
      <c r="B157" t="s">
        <v>14</v>
      </c>
      <c r="C157" t="s">
        <v>96</v>
      </c>
      <c r="D157">
        <v>710367</v>
      </c>
      <c r="E157" t="s">
        <v>10</v>
      </c>
      <c r="F157">
        <v>45.366999999999997</v>
      </c>
      <c r="G157">
        <v>-72.766999999999996</v>
      </c>
      <c r="H157">
        <v>-5</v>
      </c>
      <c r="I157">
        <v>86</v>
      </c>
      <c r="J157" t="str">
        <f>HYPERLINK("https://climate.onebuilding.org/WMO_Region_4_North_and_Central_America/CAN_Canada/QC_Quebec/CAN_QC_Granby.710367_TMYx.2007-2021.zip")</f>
        <v>https://climate.onebuilding.org/WMO_Region_4_North_and_Central_America/CAN_Canada/QC_Quebec/CAN_QC_Granby.710367_TMYx.2007-2021.zip</v>
      </c>
    </row>
    <row r="158" spans="1:10" x14ac:dyDescent="0.25">
      <c r="A158" t="s">
        <v>6</v>
      </c>
      <c r="B158" t="s">
        <v>14</v>
      </c>
      <c r="C158" t="s">
        <v>96</v>
      </c>
      <c r="D158">
        <v>710367</v>
      </c>
      <c r="E158" t="s">
        <v>10</v>
      </c>
      <c r="F158">
        <v>45.366999999999997</v>
      </c>
      <c r="G158">
        <v>-72.766999999999996</v>
      </c>
      <c r="H158">
        <v>-5</v>
      </c>
      <c r="I158">
        <v>86</v>
      </c>
      <c r="J158" t="str">
        <f>HYPERLINK("https://climate.onebuilding.org/WMO_Region_4_North_and_Central_America/CAN_Canada/QC_Quebec/CAN_QC_Granby.710367_TMYx.2009-2023.zip")</f>
        <v>https://climate.onebuilding.org/WMO_Region_4_North_and_Central_America/CAN_Canada/QC_Quebec/CAN_QC_Granby.710367_TMYx.2009-2023.zip</v>
      </c>
    </row>
    <row r="159" spans="1:10" x14ac:dyDescent="0.25">
      <c r="A159" t="s">
        <v>6</v>
      </c>
      <c r="B159" t="s">
        <v>14</v>
      </c>
      <c r="C159" t="s">
        <v>96</v>
      </c>
      <c r="D159">
        <v>710367</v>
      </c>
      <c r="E159" t="s">
        <v>10</v>
      </c>
      <c r="F159">
        <v>45.366999999999997</v>
      </c>
      <c r="G159">
        <v>-72.766999999999996</v>
      </c>
      <c r="H159">
        <v>-5</v>
      </c>
      <c r="I159">
        <v>86</v>
      </c>
      <c r="J159" t="str">
        <f>HYPERLINK("https://climate.onebuilding.org/WMO_Region_4_North_and_Central_America/CAN_Canada/QC_Quebec/CAN_QC_Granby.710367_TMYx.zip")</f>
        <v>https://climate.onebuilding.org/WMO_Region_4_North_and_Central_America/CAN_Canada/QC_Quebec/CAN_QC_Granby.710367_TMYx.zip</v>
      </c>
    </row>
    <row r="160" spans="1:10" x14ac:dyDescent="0.25">
      <c r="A160" t="s">
        <v>6</v>
      </c>
      <c r="B160" t="s">
        <v>55</v>
      </c>
      <c r="C160" t="s">
        <v>98</v>
      </c>
      <c r="D160">
        <v>710370</v>
      </c>
      <c r="E160" t="s">
        <v>99</v>
      </c>
      <c r="F160">
        <v>49.330300000000001</v>
      </c>
      <c r="G160">
        <v>-123.2647</v>
      </c>
      <c r="H160">
        <v>-8</v>
      </c>
      <c r="I160">
        <v>13</v>
      </c>
      <c r="J160" t="str">
        <f>HYPERLINK("https://climate.onebuilding.org/WMO_Region_4_North_and_Central_America/CAN_Canada/BC_British_Columbia/CAN_BC_Point.Atkinson.710370_TMYx.2004-2018.zip")</f>
        <v>https://climate.onebuilding.org/WMO_Region_4_North_and_Central_America/CAN_Canada/BC_British_Columbia/CAN_BC_Point.Atkinson.710370_TMYx.2004-2018.zip</v>
      </c>
    </row>
    <row r="161" spans="1:10" x14ac:dyDescent="0.25">
      <c r="A161" t="s">
        <v>6</v>
      </c>
      <c r="B161" t="s">
        <v>55</v>
      </c>
      <c r="C161" t="s">
        <v>98</v>
      </c>
      <c r="D161">
        <v>710370</v>
      </c>
      <c r="E161" t="s">
        <v>10</v>
      </c>
      <c r="F161">
        <v>49.330300000000001</v>
      </c>
      <c r="G161">
        <v>-123.2647</v>
      </c>
      <c r="H161">
        <v>-8</v>
      </c>
      <c r="I161">
        <v>13</v>
      </c>
      <c r="J161" t="str">
        <f>HYPERLINK("https://climate.onebuilding.org/WMO_Region_4_North_and_Central_America/CAN_Canada/BC_British_Columbia/CAN_BC_Point.Atkinson.710370_TMYx.2007-2021.zip")</f>
        <v>https://climate.onebuilding.org/WMO_Region_4_North_and_Central_America/CAN_Canada/BC_British_Columbia/CAN_BC_Point.Atkinson.710370_TMYx.2007-2021.zip</v>
      </c>
    </row>
    <row r="162" spans="1:10" x14ac:dyDescent="0.25">
      <c r="A162" t="s">
        <v>6</v>
      </c>
      <c r="B162" t="s">
        <v>55</v>
      </c>
      <c r="C162" t="s">
        <v>98</v>
      </c>
      <c r="D162">
        <v>710370</v>
      </c>
      <c r="E162" t="s">
        <v>10</v>
      </c>
      <c r="F162">
        <v>49.330300000000001</v>
      </c>
      <c r="G162">
        <v>-123.2647</v>
      </c>
      <c r="H162">
        <v>-8</v>
      </c>
      <c r="I162">
        <v>13</v>
      </c>
      <c r="J162" t="str">
        <f>HYPERLINK("https://climate.onebuilding.org/WMO_Region_4_North_and_Central_America/CAN_Canada/BC_British_Columbia/CAN_BC_Point.Atkinson.710370_TMYx.2009-2023.zip")</f>
        <v>https://climate.onebuilding.org/WMO_Region_4_North_and_Central_America/CAN_Canada/BC_British_Columbia/CAN_BC_Point.Atkinson.710370_TMYx.2009-2023.zip</v>
      </c>
    </row>
    <row r="163" spans="1:10" x14ac:dyDescent="0.25">
      <c r="A163" t="s">
        <v>6</v>
      </c>
      <c r="B163" t="s">
        <v>55</v>
      </c>
      <c r="C163" t="s">
        <v>98</v>
      </c>
      <c r="D163">
        <v>710370</v>
      </c>
      <c r="E163" t="s">
        <v>10</v>
      </c>
      <c r="F163">
        <v>49.330300000000001</v>
      </c>
      <c r="G163">
        <v>-123.2647</v>
      </c>
      <c r="H163">
        <v>-8</v>
      </c>
      <c r="I163">
        <v>13</v>
      </c>
      <c r="J163" t="str">
        <f>HYPERLINK("https://climate.onebuilding.org/WMO_Region_4_North_and_Central_America/CAN_Canada/BC_British_Columbia/CAN_BC_Point.Atkinson.710370_TMYx.zip")</f>
        <v>https://climate.onebuilding.org/WMO_Region_4_North_and_Central_America/CAN_Canada/BC_British_Columbia/CAN_BC_Point.Atkinson.710370_TMYx.zip</v>
      </c>
    </row>
    <row r="164" spans="1:10" x14ac:dyDescent="0.25">
      <c r="A164" t="s">
        <v>6</v>
      </c>
      <c r="B164" t="s">
        <v>55</v>
      </c>
      <c r="C164" t="s">
        <v>100</v>
      </c>
      <c r="D164">
        <v>710380</v>
      </c>
      <c r="E164" t="s">
        <v>101</v>
      </c>
      <c r="F164">
        <v>48.53</v>
      </c>
      <c r="G164">
        <v>-123.46</v>
      </c>
      <c r="H164">
        <v>-8</v>
      </c>
      <c r="I164">
        <v>154</v>
      </c>
      <c r="J164" t="str">
        <f>HYPERLINK("https://climate.onebuilding.org/WMO_Region_4_North_and_Central_America/CAN_Canada/BC_British_Columbia/CAN_BC_Victoria.Hartland.CS.710380_TMYx.2004-2018.zip")</f>
        <v>https://climate.onebuilding.org/WMO_Region_4_North_and_Central_America/CAN_Canada/BC_British_Columbia/CAN_BC_Victoria.Hartland.CS.710380_TMYx.2004-2018.zip</v>
      </c>
    </row>
    <row r="165" spans="1:10" x14ac:dyDescent="0.25">
      <c r="A165" t="s">
        <v>6</v>
      </c>
      <c r="B165" t="s">
        <v>55</v>
      </c>
      <c r="C165" t="s">
        <v>100</v>
      </c>
      <c r="D165">
        <v>710380</v>
      </c>
      <c r="E165" t="s">
        <v>10</v>
      </c>
      <c r="F165">
        <v>48.53</v>
      </c>
      <c r="G165">
        <v>-123.46</v>
      </c>
      <c r="H165">
        <v>-8</v>
      </c>
      <c r="I165">
        <v>154</v>
      </c>
      <c r="J165" t="str">
        <f>HYPERLINK("https://climate.onebuilding.org/WMO_Region_4_North_and_Central_America/CAN_Canada/BC_British_Columbia/CAN_BC_Victoria.Hartland.CS.710380_TMYx.2007-2021.zip")</f>
        <v>https://climate.onebuilding.org/WMO_Region_4_North_and_Central_America/CAN_Canada/BC_British_Columbia/CAN_BC_Victoria.Hartland.CS.710380_TMYx.2007-2021.zip</v>
      </c>
    </row>
    <row r="166" spans="1:10" x14ac:dyDescent="0.25">
      <c r="A166" t="s">
        <v>6</v>
      </c>
      <c r="B166" t="s">
        <v>55</v>
      </c>
      <c r="C166" t="s">
        <v>100</v>
      </c>
      <c r="D166">
        <v>710380</v>
      </c>
      <c r="E166" t="s">
        <v>10</v>
      </c>
      <c r="F166">
        <v>48.53</v>
      </c>
      <c r="G166">
        <v>-123.46</v>
      </c>
      <c r="H166">
        <v>-8</v>
      </c>
      <c r="I166">
        <v>154</v>
      </c>
      <c r="J166" t="str">
        <f>HYPERLINK("https://climate.onebuilding.org/WMO_Region_4_North_and_Central_America/CAN_Canada/BC_British_Columbia/CAN_BC_Victoria.Hartland.CS.710380_TMYx.2009-2023.zip")</f>
        <v>https://climate.onebuilding.org/WMO_Region_4_North_and_Central_America/CAN_Canada/BC_British_Columbia/CAN_BC_Victoria.Hartland.CS.710380_TMYx.2009-2023.zip</v>
      </c>
    </row>
    <row r="167" spans="1:10" x14ac:dyDescent="0.25">
      <c r="A167" t="s">
        <v>6</v>
      </c>
      <c r="B167" t="s">
        <v>55</v>
      </c>
      <c r="C167" t="s">
        <v>100</v>
      </c>
      <c r="D167">
        <v>710380</v>
      </c>
      <c r="E167" t="s">
        <v>10</v>
      </c>
      <c r="F167">
        <v>48.53</v>
      </c>
      <c r="G167">
        <v>-123.46</v>
      </c>
      <c r="H167">
        <v>-8</v>
      </c>
      <c r="I167">
        <v>154</v>
      </c>
      <c r="J167" t="str">
        <f>HYPERLINK("https://climate.onebuilding.org/WMO_Region_4_North_and_Central_America/CAN_Canada/BC_British_Columbia/CAN_BC_Victoria.Hartland.CS.710380_TMYx.zip")</f>
        <v>https://climate.onebuilding.org/WMO_Region_4_North_and_Central_America/CAN_Canada/BC_British_Columbia/CAN_BC_Victoria.Hartland.CS.710380_TMYx.zip</v>
      </c>
    </row>
    <row r="168" spans="1:10" x14ac:dyDescent="0.25">
      <c r="A168" t="s">
        <v>6</v>
      </c>
      <c r="B168" t="s">
        <v>7</v>
      </c>
      <c r="C168" t="s">
        <v>102</v>
      </c>
      <c r="D168">
        <v>710390</v>
      </c>
      <c r="E168" t="s">
        <v>103</v>
      </c>
      <c r="F168">
        <v>62.115000000000002</v>
      </c>
      <c r="G168">
        <v>-136.1919</v>
      </c>
      <c r="H168">
        <v>-8</v>
      </c>
      <c r="I168">
        <v>542.9</v>
      </c>
      <c r="J168" t="str">
        <f>HYPERLINK("https://climate.onebuilding.org/WMO_Region_4_North_and_Central_America/CAN_Canada/YT_Yukon/CAN_YT_Carmacks.CS.710390_TMYx.2004-2018.zip")</f>
        <v>https://climate.onebuilding.org/WMO_Region_4_North_and_Central_America/CAN_Canada/YT_Yukon/CAN_YT_Carmacks.CS.710390_TMYx.2004-2018.zip</v>
      </c>
    </row>
    <row r="169" spans="1:10" x14ac:dyDescent="0.25">
      <c r="A169" t="s">
        <v>6</v>
      </c>
      <c r="B169" t="s">
        <v>7</v>
      </c>
      <c r="C169" t="s">
        <v>102</v>
      </c>
      <c r="D169">
        <v>710390</v>
      </c>
      <c r="E169" t="s">
        <v>10</v>
      </c>
      <c r="F169">
        <v>62.115000000000002</v>
      </c>
      <c r="G169">
        <v>-136.1919</v>
      </c>
      <c r="H169">
        <v>-8</v>
      </c>
      <c r="I169">
        <v>542.9</v>
      </c>
      <c r="J169" t="str">
        <f>HYPERLINK("https://climate.onebuilding.org/WMO_Region_4_North_and_Central_America/CAN_Canada/YT_Yukon/CAN_YT_Carmacks.CS.710390_TMYx.2007-2021.zip")</f>
        <v>https://climate.onebuilding.org/WMO_Region_4_North_and_Central_America/CAN_Canada/YT_Yukon/CAN_YT_Carmacks.CS.710390_TMYx.2007-2021.zip</v>
      </c>
    </row>
    <row r="170" spans="1:10" x14ac:dyDescent="0.25">
      <c r="A170" t="s">
        <v>6</v>
      </c>
      <c r="B170" t="s">
        <v>7</v>
      </c>
      <c r="C170" t="s">
        <v>102</v>
      </c>
      <c r="D170">
        <v>710390</v>
      </c>
      <c r="E170" t="s">
        <v>10</v>
      </c>
      <c r="F170">
        <v>62.115000000000002</v>
      </c>
      <c r="G170">
        <v>-136.1919</v>
      </c>
      <c r="H170">
        <v>-8</v>
      </c>
      <c r="I170">
        <v>542.9</v>
      </c>
      <c r="J170" t="str">
        <f>HYPERLINK("https://climate.onebuilding.org/WMO_Region_4_North_and_Central_America/CAN_Canada/YT_Yukon/CAN_YT_Carmacks.CS.710390_TMYx.2009-2023.zip")</f>
        <v>https://climate.onebuilding.org/WMO_Region_4_North_and_Central_America/CAN_Canada/YT_Yukon/CAN_YT_Carmacks.CS.710390_TMYx.2009-2023.zip</v>
      </c>
    </row>
    <row r="171" spans="1:10" x14ac:dyDescent="0.25">
      <c r="A171" t="s">
        <v>6</v>
      </c>
      <c r="B171" t="s">
        <v>7</v>
      </c>
      <c r="C171" t="s">
        <v>102</v>
      </c>
      <c r="D171">
        <v>710390</v>
      </c>
      <c r="E171" t="s">
        <v>10</v>
      </c>
      <c r="F171">
        <v>62.115000000000002</v>
      </c>
      <c r="G171">
        <v>-136.1919</v>
      </c>
      <c r="H171">
        <v>-8</v>
      </c>
      <c r="I171">
        <v>542.9</v>
      </c>
      <c r="J171" t="str">
        <f>HYPERLINK("https://climate.onebuilding.org/WMO_Region_4_North_and_Central_America/CAN_Canada/YT_Yukon/CAN_YT_Carmacks.CS.710390_TMYx.zip")</f>
        <v>https://climate.onebuilding.org/WMO_Region_4_North_and_Central_America/CAN_Canada/YT_Yukon/CAN_YT_Carmacks.CS.710390_TMYx.zip</v>
      </c>
    </row>
    <row r="172" spans="1:10" x14ac:dyDescent="0.25">
      <c r="A172" t="s">
        <v>6</v>
      </c>
      <c r="B172" t="s">
        <v>14</v>
      </c>
      <c r="C172" t="s">
        <v>104</v>
      </c>
      <c r="D172">
        <v>710400</v>
      </c>
      <c r="E172" t="s">
        <v>105</v>
      </c>
      <c r="F172">
        <v>48.307200000000002</v>
      </c>
      <c r="G172">
        <v>-71.129199999999997</v>
      </c>
      <c r="H172">
        <v>-5</v>
      </c>
      <c r="I172">
        <v>162.69999999999999</v>
      </c>
      <c r="J172" t="str">
        <f>HYPERLINK("https://climate.onebuilding.org/WMO_Region_4_North_and_Central_America/CAN_Canada/QC_Quebec/CAN_QC_Laterriere.710400_TMYx.2004-2018.zip")</f>
        <v>https://climate.onebuilding.org/WMO_Region_4_North_and_Central_America/CAN_Canada/QC_Quebec/CAN_QC_Laterriere.710400_TMYx.2004-2018.zip</v>
      </c>
    </row>
    <row r="173" spans="1:10" x14ac:dyDescent="0.25">
      <c r="A173" t="s">
        <v>6</v>
      </c>
      <c r="B173" t="s">
        <v>14</v>
      </c>
      <c r="C173" t="s">
        <v>104</v>
      </c>
      <c r="D173">
        <v>710400</v>
      </c>
      <c r="E173" t="s">
        <v>10</v>
      </c>
      <c r="F173">
        <v>48.307200000000002</v>
      </c>
      <c r="G173">
        <v>-71.129199999999997</v>
      </c>
      <c r="H173">
        <v>-5</v>
      </c>
      <c r="I173">
        <v>162.69999999999999</v>
      </c>
      <c r="J173" t="str">
        <f>HYPERLINK("https://climate.onebuilding.org/WMO_Region_4_North_and_Central_America/CAN_Canada/QC_Quebec/CAN_QC_Laterriere.710400_TMYx.2007-2021.zip")</f>
        <v>https://climate.onebuilding.org/WMO_Region_4_North_and_Central_America/CAN_Canada/QC_Quebec/CAN_QC_Laterriere.710400_TMYx.2007-2021.zip</v>
      </c>
    </row>
    <row r="174" spans="1:10" x14ac:dyDescent="0.25">
      <c r="A174" t="s">
        <v>6</v>
      </c>
      <c r="B174" t="s">
        <v>14</v>
      </c>
      <c r="C174" t="s">
        <v>104</v>
      </c>
      <c r="D174">
        <v>710400</v>
      </c>
      <c r="E174" t="s">
        <v>10</v>
      </c>
      <c r="F174">
        <v>48.307200000000002</v>
      </c>
      <c r="G174">
        <v>-71.129199999999997</v>
      </c>
      <c r="H174">
        <v>-5</v>
      </c>
      <c r="I174">
        <v>162.69999999999999</v>
      </c>
      <c r="J174" t="str">
        <f>HYPERLINK("https://climate.onebuilding.org/WMO_Region_4_North_and_Central_America/CAN_Canada/QC_Quebec/CAN_QC_Laterriere.710400_TMYx.2009-2023.zip")</f>
        <v>https://climate.onebuilding.org/WMO_Region_4_North_and_Central_America/CAN_Canada/QC_Quebec/CAN_QC_Laterriere.710400_TMYx.2009-2023.zip</v>
      </c>
    </row>
    <row r="175" spans="1:10" x14ac:dyDescent="0.25">
      <c r="A175" t="s">
        <v>6</v>
      </c>
      <c r="B175" t="s">
        <v>14</v>
      </c>
      <c r="C175" t="s">
        <v>104</v>
      </c>
      <c r="D175">
        <v>710400</v>
      </c>
      <c r="E175" t="s">
        <v>10</v>
      </c>
      <c r="F175">
        <v>48.307200000000002</v>
      </c>
      <c r="G175">
        <v>-71.129199999999997</v>
      </c>
      <c r="H175">
        <v>-5</v>
      </c>
      <c r="I175">
        <v>162.69999999999999</v>
      </c>
      <c r="J175" t="str">
        <f>HYPERLINK("https://climate.onebuilding.org/WMO_Region_4_North_and_Central_America/CAN_Canada/QC_Quebec/CAN_QC_Laterriere.710400_TMYx.zip")</f>
        <v>https://climate.onebuilding.org/WMO_Region_4_North_and_Central_America/CAN_Canada/QC_Quebec/CAN_QC_Laterriere.710400_TMYx.zip</v>
      </c>
    </row>
    <row r="176" spans="1:10" x14ac:dyDescent="0.25">
      <c r="A176" t="s">
        <v>6</v>
      </c>
      <c r="B176" t="s">
        <v>68</v>
      </c>
      <c r="C176" t="s">
        <v>106</v>
      </c>
      <c r="D176">
        <v>710410</v>
      </c>
      <c r="E176" t="s">
        <v>107</v>
      </c>
      <c r="F176">
        <v>45.656700000000001</v>
      </c>
      <c r="G176">
        <v>-61.368099999999998</v>
      </c>
      <c r="H176">
        <v>-4</v>
      </c>
      <c r="I176">
        <v>114.9</v>
      </c>
      <c r="J176" t="str">
        <f>HYPERLINK("https://climate.onebuilding.org/WMO_Region_4_North_and_Central_America/CAN_Canada/NS_Nova_Scotia/CAN_NS_Port.Hawkesbury.AP.710410_TMYx.2004-2018.zip")</f>
        <v>https://climate.onebuilding.org/WMO_Region_4_North_and_Central_America/CAN_Canada/NS_Nova_Scotia/CAN_NS_Port.Hawkesbury.AP.710410_TMYx.2004-2018.zip</v>
      </c>
    </row>
    <row r="177" spans="1:10" x14ac:dyDescent="0.25">
      <c r="A177" t="s">
        <v>6</v>
      </c>
      <c r="B177" t="s">
        <v>68</v>
      </c>
      <c r="C177" t="s">
        <v>106</v>
      </c>
      <c r="D177">
        <v>710410</v>
      </c>
      <c r="E177" t="s">
        <v>10</v>
      </c>
      <c r="F177">
        <v>45.656700000000001</v>
      </c>
      <c r="G177">
        <v>-61.368099999999998</v>
      </c>
      <c r="H177">
        <v>-4</v>
      </c>
      <c r="I177">
        <v>114.9</v>
      </c>
      <c r="J177" t="str">
        <f>HYPERLINK("https://climate.onebuilding.org/WMO_Region_4_North_and_Central_America/CAN_Canada/NS_Nova_Scotia/CAN_NS_Port.Hawkesbury.AP.710410_TMYx.2007-2021.zip")</f>
        <v>https://climate.onebuilding.org/WMO_Region_4_North_and_Central_America/CAN_Canada/NS_Nova_Scotia/CAN_NS_Port.Hawkesbury.AP.710410_TMYx.2007-2021.zip</v>
      </c>
    </row>
    <row r="178" spans="1:10" x14ac:dyDescent="0.25">
      <c r="A178" t="s">
        <v>6</v>
      </c>
      <c r="B178" t="s">
        <v>68</v>
      </c>
      <c r="C178" t="s">
        <v>106</v>
      </c>
      <c r="D178">
        <v>710410</v>
      </c>
      <c r="E178" t="s">
        <v>10</v>
      </c>
      <c r="F178">
        <v>45.656700000000001</v>
      </c>
      <c r="G178">
        <v>-61.368099999999998</v>
      </c>
      <c r="H178">
        <v>-4</v>
      </c>
      <c r="I178">
        <v>114.9</v>
      </c>
      <c r="J178" t="str">
        <f>HYPERLINK("https://climate.onebuilding.org/WMO_Region_4_North_and_Central_America/CAN_Canada/NS_Nova_Scotia/CAN_NS_Port.Hawkesbury.AP.710410_TMYx.2009-2023.zip")</f>
        <v>https://climate.onebuilding.org/WMO_Region_4_North_and_Central_America/CAN_Canada/NS_Nova_Scotia/CAN_NS_Port.Hawkesbury.AP.710410_TMYx.2009-2023.zip</v>
      </c>
    </row>
    <row r="179" spans="1:10" x14ac:dyDescent="0.25">
      <c r="A179" t="s">
        <v>6</v>
      </c>
      <c r="B179" t="s">
        <v>68</v>
      </c>
      <c r="C179" t="s">
        <v>106</v>
      </c>
      <c r="D179">
        <v>710410</v>
      </c>
      <c r="E179" t="s">
        <v>10</v>
      </c>
      <c r="F179">
        <v>45.656700000000001</v>
      </c>
      <c r="G179">
        <v>-61.368099999999998</v>
      </c>
      <c r="H179">
        <v>-4</v>
      </c>
      <c r="I179">
        <v>114.9</v>
      </c>
      <c r="J179" t="str">
        <f>HYPERLINK("https://climate.onebuilding.org/WMO_Region_4_North_and_Central_America/CAN_Canada/NS_Nova_Scotia/CAN_NS_Port.Hawkesbury.AP.710410_TMYx.zip")</f>
        <v>https://climate.onebuilding.org/WMO_Region_4_North_and_Central_America/CAN_Canada/NS_Nova_Scotia/CAN_NS_Port.Hawkesbury.AP.710410_TMYx.zip</v>
      </c>
    </row>
    <row r="180" spans="1:10" x14ac:dyDescent="0.25">
      <c r="A180" t="s">
        <v>6</v>
      </c>
      <c r="B180" t="s">
        <v>68</v>
      </c>
      <c r="C180" t="s">
        <v>108</v>
      </c>
      <c r="D180">
        <v>710415</v>
      </c>
      <c r="E180" t="s">
        <v>109</v>
      </c>
      <c r="F180">
        <v>44.37</v>
      </c>
      <c r="G180">
        <v>-64.3</v>
      </c>
      <c r="H180">
        <v>-4</v>
      </c>
      <c r="I180">
        <v>4</v>
      </c>
      <c r="J180" t="str">
        <f>HYPERLINK("https://climate.onebuilding.org/WMO_Region_4_North_and_Central_America/CAN_Canada/NS_Nova_Scotia/CAN_NS_Lunenburg.710415_TMYx.2004-2018.zip")</f>
        <v>https://climate.onebuilding.org/WMO_Region_4_North_and_Central_America/CAN_Canada/NS_Nova_Scotia/CAN_NS_Lunenburg.710415_TMYx.2004-2018.zip</v>
      </c>
    </row>
    <row r="181" spans="1:10" x14ac:dyDescent="0.25">
      <c r="A181" t="s">
        <v>6</v>
      </c>
      <c r="B181" t="s">
        <v>68</v>
      </c>
      <c r="C181" t="s">
        <v>108</v>
      </c>
      <c r="D181">
        <v>710415</v>
      </c>
      <c r="E181" t="s">
        <v>10</v>
      </c>
      <c r="F181">
        <v>44.37</v>
      </c>
      <c r="G181">
        <v>-64.3</v>
      </c>
      <c r="H181">
        <v>-4</v>
      </c>
      <c r="I181">
        <v>4</v>
      </c>
      <c r="J181" t="str">
        <f>HYPERLINK("https://climate.onebuilding.org/WMO_Region_4_North_and_Central_America/CAN_Canada/NS_Nova_Scotia/CAN_NS_Lunenburg.710415_TMYx.2007-2021.zip")</f>
        <v>https://climate.onebuilding.org/WMO_Region_4_North_and_Central_America/CAN_Canada/NS_Nova_Scotia/CAN_NS_Lunenburg.710415_TMYx.2007-2021.zip</v>
      </c>
    </row>
    <row r="182" spans="1:10" x14ac:dyDescent="0.25">
      <c r="A182" t="s">
        <v>6</v>
      </c>
      <c r="B182" t="s">
        <v>68</v>
      </c>
      <c r="C182" t="s">
        <v>108</v>
      </c>
      <c r="D182">
        <v>710415</v>
      </c>
      <c r="E182" t="s">
        <v>10</v>
      </c>
      <c r="F182">
        <v>44.37</v>
      </c>
      <c r="G182">
        <v>-64.3</v>
      </c>
      <c r="H182">
        <v>-4</v>
      </c>
      <c r="I182">
        <v>4</v>
      </c>
      <c r="J182" t="str">
        <f>HYPERLINK("https://climate.onebuilding.org/WMO_Region_4_North_and_Central_America/CAN_Canada/NS_Nova_Scotia/CAN_NS_Lunenburg.710415_TMYx.2009-2023.zip")</f>
        <v>https://climate.onebuilding.org/WMO_Region_4_North_and_Central_America/CAN_Canada/NS_Nova_Scotia/CAN_NS_Lunenburg.710415_TMYx.2009-2023.zip</v>
      </c>
    </row>
    <row r="183" spans="1:10" x14ac:dyDescent="0.25">
      <c r="A183" t="s">
        <v>6</v>
      </c>
      <c r="B183" t="s">
        <v>68</v>
      </c>
      <c r="C183" t="s">
        <v>108</v>
      </c>
      <c r="D183">
        <v>710415</v>
      </c>
      <c r="E183" t="s">
        <v>10</v>
      </c>
      <c r="F183">
        <v>44.37</v>
      </c>
      <c r="G183">
        <v>-64.3</v>
      </c>
      <c r="H183">
        <v>-4</v>
      </c>
      <c r="I183">
        <v>4</v>
      </c>
      <c r="J183" t="str">
        <f>HYPERLINK("https://climate.onebuilding.org/WMO_Region_4_North_and_Central_America/CAN_Canada/NS_Nova_Scotia/CAN_NS_Lunenburg.710415_TMYx.zip")</f>
        <v>https://climate.onebuilding.org/WMO_Region_4_North_and_Central_America/CAN_Canada/NS_Nova_Scotia/CAN_NS_Lunenburg.710415_TMYx.zip</v>
      </c>
    </row>
    <row r="184" spans="1:10" x14ac:dyDescent="0.25">
      <c r="A184" t="s">
        <v>6</v>
      </c>
      <c r="B184" t="s">
        <v>55</v>
      </c>
      <c r="C184" t="s">
        <v>110</v>
      </c>
      <c r="D184">
        <v>710420</v>
      </c>
      <c r="E184" t="s">
        <v>111</v>
      </c>
      <c r="F184">
        <v>49.125999999999998</v>
      </c>
      <c r="G184">
        <v>-123.0025</v>
      </c>
      <c r="H184">
        <v>-8</v>
      </c>
      <c r="I184">
        <v>3</v>
      </c>
      <c r="J184" t="str">
        <f>HYPERLINK("https://climate.onebuilding.org/WMO_Region_4_North_and_Central_America/CAN_Canada/BC_British_Columbia/CAN_BC_Delta-Burns.Bog.710420_TMYx.2004-2018.zip")</f>
        <v>https://climate.onebuilding.org/WMO_Region_4_North_and_Central_America/CAN_Canada/BC_British_Columbia/CAN_BC_Delta-Burns.Bog.710420_TMYx.2004-2018.zip</v>
      </c>
    </row>
    <row r="185" spans="1:10" x14ac:dyDescent="0.25">
      <c r="A185" t="s">
        <v>6</v>
      </c>
      <c r="B185" t="s">
        <v>55</v>
      </c>
      <c r="C185" t="s">
        <v>110</v>
      </c>
      <c r="D185">
        <v>710420</v>
      </c>
      <c r="E185" t="s">
        <v>10</v>
      </c>
      <c r="F185">
        <v>49.125999999999998</v>
      </c>
      <c r="G185">
        <v>-123.0025</v>
      </c>
      <c r="H185">
        <v>-8</v>
      </c>
      <c r="I185">
        <v>3</v>
      </c>
      <c r="J185" t="str">
        <f>HYPERLINK("https://climate.onebuilding.org/WMO_Region_4_North_and_Central_America/CAN_Canada/BC_British_Columbia/CAN_BC_Delta-Burns.Bog.710420_TMYx.2007-2021.zip")</f>
        <v>https://climate.onebuilding.org/WMO_Region_4_North_and_Central_America/CAN_Canada/BC_British_Columbia/CAN_BC_Delta-Burns.Bog.710420_TMYx.2007-2021.zip</v>
      </c>
    </row>
    <row r="186" spans="1:10" x14ac:dyDescent="0.25">
      <c r="A186" t="s">
        <v>6</v>
      </c>
      <c r="B186" t="s">
        <v>55</v>
      </c>
      <c r="C186" t="s">
        <v>110</v>
      </c>
      <c r="D186">
        <v>710420</v>
      </c>
      <c r="E186" t="s">
        <v>10</v>
      </c>
      <c r="F186">
        <v>49.125999999999998</v>
      </c>
      <c r="G186">
        <v>-123.0025</v>
      </c>
      <c r="H186">
        <v>-8</v>
      </c>
      <c r="I186">
        <v>3</v>
      </c>
      <c r="J186" t="str">
        <f>HYPERLINK("https://climate.onebuilding.org/WMO_Region_4_North_and_Central_America/CAN_Canada/BC_British_Columbia/CAN_BC_Delta-Burns.Bog.710420_TMYx.2009-2023.zip")</f>
        <v>https://climate.onebuilding.org/WMO_Region_4_North_and_Central_America/CAN_Canada/BC_British_Columbia/CAN_BC_Delta-Burns.Bog.710420_TMYx.2009-2023.zip</v>
      </c>
    </row>
    <row r="187" spans="1:10" x14ac:dyDescent="0.25">
      <c r="A187" t="s">
        <v>6</v>
      </c>
      <c r="B187" t="s">
        <v>55</v>
      </c>
      <c r="C187" t="s">
        <v>110</v>
      </c>
      <c r="D187">
        <v>710420</v>
      </c>
      <c r="E187" t="s">
        <v>10</v>
      </c>
      <c r="F187">
        <v>49.125999999999998</v>
      </c>
      <c r="G187">
        <v>-123.0025</v>
      </c>
      <c r="H187">
        <v>-8</v>
      </c>
      <c r="I187">
        <v>3</v>
      </c>
      <c r="J187" t="str">
        <f>HYPERLINK("https://climate.onebuilding.org/WMO_Region_4_North_and_Central_America/CAN_Canada/BC_British_Columbia/CAN_BC_Delta-Burns.Bog.710420_TMYx.zip")</f>
        <v>https://climate.onebuilding.org/WMO_Region_4_North_and_Central_America/CAN_Canada/BC_British_Columbia/CAN_BC_Delta-Burns.Bog.710420_TMYx.zip</v>
      </c>
    </row>
    <row r="188" spans="1:10" x14ac:dyDescent="0.25">
      <c r="A188" t="s">
        <v>6</v>
      </c>
      <c r="B188" t="s">
        <v>48</v>
      </c>
      <c r="C188" t="s">
        <v>112</v>
      </c>
      <c r="D188">
        <v>710430</v>
      </c>
      <c r="E188" t="s">
        <v>113</v>
      </c>
      <c r="F188">
        <v>65.282499999999999</v>
      </c>
      <c r="G188">
        <v>-126.80029999999999</v>
      </c>
      <c r="H188">
        <v>-7</v>
      </c>
      <c r="I188">
        <v>72.5</v>
      </c>
      <c r="J188" t="str">
        <f>HYPERLINK("https://climate.onebuilding.org/WMO_Region_4_North_and_Central_America/CAN_Canada/NT_Northwest_Territories/CAN_NT_Norman.Wells.AP.710430_TMYx.2004-2018.zip")</f>
        <v>https://climate.onebuilding.org/WMO_Region_4_North_and_Central_America/CAN_Canada/NT_Northwest_Territories/CAN_NT_Norman.Wells.AP.710430_TMYx.2004-2018.zip</v>
      </c>
    </row>
    <row r="189" spans="1:10" x14ac:dyDescent="0.25">
      <c r="A189" t="s">
        <v>6</v>
      </c>
      <c r="B189" t="s">
        <v>48</v>
      </c>
      <c r="C189" t="s">
        <v>112</v>
      </c>
      <c r="D189">
        <v>710430</v>
      </c>
      <c r="E189" t="s">
        <v>10</v>
      </c>
      <c r="F189">
        <v>65.282499999999999</v>
      </c>
      <c r="G189">
        <v>-126.80029999999999</v>
      </c>
      <c r="H189">
        <v>-7</v>
      </c>
      <c r="I189">
        <v>72.5</v>
      </c>
      <c r="J189" t="str">
        <f>HYPERLINK("https://climate.onebuilding.org/WMO_Region_4_North_and_Central_America/CAN_Canada/NT_Northwest_Territories/CAN_NT_Norman.Wells.AP.710430_TMYx.2007-2021.zip")</f>
        <v>https://climate.onebuilding.org/WMO_Region_4_North_and_Central_America/CAN_Canada/NT_Northwest_Territories/CAN_NT_Norman.Wells.AP.710430_TMYx.2007-2021.zip</v>
      </c>
    </row>
    <row r="190" spans="1:10" x14ac:dyDescent="0.25">
      <c r="A190" t="s">
        <v>6</v>
      </c>
      <c r="B190" t="s">
        <v>48</v>
      </c>
      <c r="C190" t="s">
        <v>112</v>
      </c>
      <c r="D190">
        <v>710430</v>
      </c>
      <c r="E190" t="s">
        <v>10</v>
      </c>
      <c r="F190">
        <v>65.282499999999999</v>
      </c>
      <c r="G190">
        <v>-126.80029999999999</v>
      </c>
      <c r="H190">
        <v>-7</v>
      </c>
      <c r="I190">
        <v>72.5</v>
      </c>
      <c r="J190" t="str">
        <f>HYPERLINK("https://climate.onebuilding.org/WMO_Region_4_North_and_Central_America/CAN_Canada/NT_Northwest_Territories/CAN_NT_Norman.Wells.AP.710430_TMYx.2009-2023.zip")</f>
        <v>https://climate.onebuilding.org/WMO_Region_4_North_and_Central_America/CAN_Canada/NT_Northwest_Territories/CAN_NT_Norman.Wells.AP.710430_TMYx.2009-2023.zip</v>
      </c>
    </row>
    <row r="191" spans="1:10" x14ac:dyDescent="0.25">
      <c r="A191" t="s">
        <v>6</v>
      </c>
      <c r="B191" t="s">
        <v>48</v>
      </c>
      <c r="C191" t="s">
        <v>112</v>
      </c>
      <c r="D191">
        <v>710430</v>
      </c>
      <c r="E191" t="s">
        <v>10</v>
      </c>
      <c r="F191">
        <v>65.282499999999999</v>
      </c>
      <c r="G191">
        <v>-126.80029999999999</v>
      </c>
      <c r="H191">
        <v>-7</v>
      </c>
      <c r="I191">
        <v>72.5</v>
      </c>
      <c r="J191" t="str">
        <f>HYPERLINK("https://climate.onebuilding.org/WMO_Region_4_North_and_Central_America/CAN_Canada/NT_Northwest_Territories/CAN_NT_Norman.Wells.AP.710430_TMYx.zip")</f>
        <v>https://climate.onebuilding.org/WMO_Region_4_North_and_Central_America/CAN_Canada/NT_Northwest_Territories/CAN_NT_Norman.Wells.AP.710430_TMYx.zip</v>
      </c>
    </row>
    <row r="192" spans="1:10" x14ac:dyDescent="0.25">
      <c r="A192" t="s">
        <v>6</v>
      </c>
      <c r="B192" t="s">
        <v>7</v>
      </c>
      <c r="C192" t="s">
        <v>114</v>
      </c>
      <c r="D192">
        <v>710440</v>
      </c>
      <c r="E192" t="s">
        <v>115</v>
      </c>
      <c r="F192">
        <v>67.570599999999999</v>
      </c>
      <c r="G192">
        <v>-139.83920000000001</v>
      </c>
      <c r="H192">
        <v>-8</v>
      </c>
      <c r="I192">
        <v>251.2</v>
      </c>
      <c r="J192" t="str">
        <f>HYPERLINK("https://climate.onebuilding.org/WMO_Region_4_North_and_Central_America/CAN_Canada/YT_Yukon/CAN_YT_Old.Crow.AP.RCS.710440_TMYx.2004-2018.zip")</f>
        <v>https://climate.onebuilding.org/WMO_Region_4_North_and_Central_America/CAN_Canada/YT_Yukon/CAN_YT_Old.Crow.AP.RCS.710440_TMYx.2004-2018.zip</v>
      </c>
    </row>
    <row r="193" spans="1:10" x14ac:dyDescent="0.25">
      <c r="A193" t="s">
        <v>6</v>
      </c>
      <c r="B193" t="s">
        <v>7</v>
      </c>
      <c r="C193" t="s">
        <v>114</v>
      </c>
      <c r="D193">
        <v>710440</v>
      </c>
      <c r="E193" t="s">
        <v>10</v>
      </c>
      <c r="F193">
        <v>67.570599999999999</v>
      </c>
      <c r="G193">
        <v>-139.83920000000001</v>
      </c>
      <c r="H193">
        <v>-8</v>
      </c>
      <c r="I193">
        <v>251.2</v>
      </c>
      <c r="J193" t="str">
        <f>HYPERLINK("https://climate.onebuilding.org/WMO_Region_4_North_and_Central_America/CAN_Canada/YT_Yukon/CAN_YT_Old.Crow.AP.RCS.710440_TMYx.2007-2021.zip")</f>
        <v>https://climate.onebuilding.org/WMO_Region_4_North_and_Central_America/CAN_Canada/YT_Yukon/CAN_YT_Old.Crow.AP.RCS.710440_TMYx.2007-2021.zip</v>
      </c>
    </row>
    <row r="194" spans="1:10" x14ac:dyDescent="0.25">
      <c r="A194" t="s">
        <v>6</v>
      </c>
      <c r="B194" t="s">
        <v>7</v>
      </c>
      <c r="C194" t="s">
        <v>114</v>
      </c>
      <c r="D194">
        <v>710440</v>
      </c>
      <c r="E194" t="s">
        <v>10</v>
      </c>
      <c r="F194">
        <v>67.570599999999999</v>
      </c>
      <c r="G194">
        <v>-139.83920000000001</v>
      </c>
      <c r="H194">
        <v>-8</v>
      </c>
      <c r="I194">
        <v>251.2</v>
      </c>
      <c r="J194" t="str">
        <f>HYPERLINK("https://climate.onebuilding.org/WMO_Region_4_North_and_Central_America/CAN_Canada/YT_Yukon/CAN_YT_Old.Crow.AP.RCS.710440_TMYx.2009-2023.zip")</f>
        <v>https://climate.onebuilding.org/WMO_Region_4_North_and_Central_America/CAN_Canada/YT_Yukon/CAN_YT_Old.Crow.AP.RCS.710440_TMYx.2009-2023.zip</v>
      </c>
    </row>
    <row r="195" spans="1:10" x14ac:dyDescent="0.25">
      <c r="A195" t="s">
        <v>6</v>
      </c>
      <c r="B195" t="s">
        <v>7</v>
      </c>
      <c r="C195" t="s">
        <v>114</v>
      </c>
      <c r="D195">
        <v>710440</v>
      </c>
      <c r="E195" t="s">
        <v>10</v>
      </c>
      <c r="F195">
        <v>67.570599999999999</v>
      </c>
      <c r="G195">
        <v>-139.83920000000001</v>
      </c>
      <c r="H195">
        <v>-8</v>
      </c>
      <c r="I195">
        <v>251.2</v>
      </c>
      <c r="J195" t="str">
        <f>HYPERLINK("https://climate.onebuilding.org/WMO_Region_4_North_and_Central_America/CAN_Canada/YT_Yukon/CAN_YT_Old.Crow.AP.RCS.710440_TMYx.zip")</f>
        <v>https://climate.onebuilding.org/WMO_Region_4_North_and_Central_America/CAN_Canada/YT_Yukon/CAN_YT_Old.Crow.AP.RCS.710440_TMYx.zip</v>
      </c>
    </row>
    <row r="196" spans="1:10" x14ac:dyDescent="0.25">
      <c r="A196" t="s">
        <v>6</v>
      </c>
      <c r="B196" t="s">
        <v>7</v>
      </c>
      <c r="C196" t="s">
        <v>116</v>
      </c>
      <c r="D196">
        <v>710450</v>
      </c>
      <c r="E196" t="s">
        <v>117</v>
      </c>
      <c r="F196">
        <v>60.166699999999999</v>
      </c>
      <c r="G196">
        <v>-132.73330000000001</v>
      </c>
      <c r="H196">
        <v>-8</v>
      </c>
      <c r="I196">
        <v>711.5</v>
      </c>
      <c r="J196" t="str">
        <f>HYPERLINK("https://climate.onebuilding.org/WMO_Region_4_North_and_Central_America/CAN_Canada/YT_Yukon/CAN_YT_Teslin.AP.710450_TMYx.2004-2018.zip")</f>
        <v>https://climate.onebuilding.org/WMO_Region_4_North_and_Central_America/CAN_Canada/YT_Yukon/CAN_YT_Teslin.AP.710450_TMYx.2004-2018.zip</v>
      </c>
    </row>
    <row r="197" spans="1:10" x14ac:dyDescent="0.25">
      <c r="A197" t="s">
        <v>6</v>
      </c>
      <c r="B197" t="s">
        <v>7</v>
      </c>
      <c r="C197" t="s">
        <v>116</v>
      </c>
      <c r="D197">
        <v>710450</v>
      </c>
      <c r="E197" t="s">
        <v>10</v>
      </c>
      <c r="F197">
        <v>60.166699999999999</v>
      </c>
      <c r="G197">
        <v>-132.73330000000001</v>
      </c>
      <c r="H197">
        <v>-8</v>
      </c>
      <c r="I197">
        <v>711.5</v>
      </c>
      <c r="J197" t="str">
        <f>HYPERLINK("https://climate.onebuilding.org/WMO_Region_4_North_and_Central_America/CAN_Canada/YT_Yukon/CAN_YT_Teslin.AP.710450_TMYx.2007-2021.zip")</f>
        <v>https://climate.onebuilding.org/WMO_Region_4_North_and_Central_America/CAN_Canada/YT_Yukon/CAN_YT_Teslin.AP.710450_TMYx.2007-2021.zip</v>
      </c>
    </row>
    <row r="198" spans="1:10" x14ac:dyDescent="0.25">
      <c r="A198" t="s">
        <v>6</v>
      </c>
      <c r="B198" t="s">
        <v>7</v>
      </c>
      <c r="C198" t="s">
        <v>116</v>
      </c>
      <c r="D198">
        <v>710450</v>
      </c>
      <c r="E198" t="s">
        <v>10</v>
      </c>
      <c r="F198">
        <v>60.166699999999999</v>
      </c>
      <c r="G198">
        <v>-132.73330000000001</v>
      </c>
      <c r="H198">
        <v>-8</v>
      </c>
      <c r="I198">
        <v>711.5</v>
      </c>
      <c r="J198" t="str">
        <f>HYPERLINK("https://climate.onebuilding.org/WMO_Region_4_North_and_Central_America/CAN_Canada/YT_Yukon/CAN_YT_Teslin.AP.710450_TMYx.2009-2023.zip")</f>
        <v>https://climate.onebuilding.org/WMO_Region_4_North_and_Central_America/CAN_Canada/YT_Yukon/CAN_YT_Teslin.AP.710450_TMYx.2009-2023.zip</v>
      </c>
    </row>
    <row r="199" spans="1:10" x14ac:dyDescent="0.25">
      <c r="A199" t="s">
        <v>6</v>
      </c>
      <c r="B199" t="s">
        <v>7</v>
      </c>
      <c r="C199" t="s">
        <v>116</v>
      </c>
      <c r="D199">
        <v>710450</v>
      </c>
      <c r="E199" t="s">
        <v>10</v>
      </c>
      <c r="F199">
        <v>60.166699999999999</v>
      </c>
      <c r="G199">
        <v>-132.73330000000001</v>
      </c>
      <c r="H199">
        <v>-8</v>
      </c>
      <c r="I199">
        <v>711.5</v>
      </c>
      <c r="J199" t="str">
        <f>HYPERLINK("https://climate.onebuilding.org/WMO_Region_4_North_and_Central_America/CAN_Canada/YT_Yukon/CAN_YT_Teslin.AP.710450_TMYx.zip")</f>
        <v>https://climate.onebuilding.org/WMO_Region_4_North_and_Central_America/CAN_Canada/YT_Yukon/CAN_YT_Teslin.AP.710450_TMYx.zip</v>
      </c>
    </row>
    <row r="200" spans="1:10" x14ac:dyDescent="0.25">
      <c r="A200" t="s">
        <v>6</v>
      </c>
      <c r="B200" t="s">
        <v>7</v>
      </c>
      <c r="C200" t="s">
        <v>118</v>
      </c>
      <c r="D200">
        <v>710460</v>
      </c>
      <c r="E200" t="s">
        <v>119</v>
      </c>
      <c r="F200">
        <v>69.593900000000005</v>
      </c>
      <c r="G200">
        <v>-140.19130000000001</v>
      </c>
      <c r="H200">
        <v>-8</v>
      </c>
      <c r="I200">
        <v>13.2</v>
      </c>
      <c r="J200" t="str">
        <f>HYPERLINK("https://climate.onebuilding.org/WMO_Region_4_North_and_Central_America/CAN_Canada/YT_Yukon/CAN_YT_Komakuk.Beach.AP.710460_TMYx.2004-2018.zip")</f>
        <v>https://climate.onebuilding.org/WMO_Region_4_North_and_Central_America/CAN_Canada/YT_Yukon/CAN_YT_Komakuk.Beach.AP.710460_TMYx.2004-2018.zip</v>
      </c>
    </row>
    <row r="201" spans="1:10" x14ac:dyDescent="0.25">
      <c r="A201" t="s">
        <v>6</v>
      </c>
      <c r="B201" t="s">
        <v>7</v>
      </c>
      <c r="C201" t="s">
        <v>118</v>
      </c>
      <c r="D201">
        <v>710460</v>
      </c>
      <c r="E201" t="s">
        <v>10</v>
      </c>
      <c r="F201">
        <v>69.593890000000002</v>
      </c>
      <c r="G201">
        <v>-140.19130000000001</v>
      </c>
      <c r="H201">
        <v>-8</v>
      </c>
      <c r="I201">
        <v>13.2</v>
      </c>
      <c r="J201" t="str">
        <f>HYPERLINK("https://climate.onebuilding.org/WMO_Region_4_North_and_Central_America/CAN_Canada/YT_Yukon/CAN_YT_Komakuk.Beach.AP.710460_TMYx.2007-2021.zip")</f>
        <v>https://climate.onebuilding.org/WMO_Region_4_North_and_Central_America/CAN_Canada/YT_Yukon/CAN_YT_Komakuk.Beach.AP.710460_TMYx.2007-2021.zip</v>
      </c>
    </row>
    <row r="202" spans="1:10" x14ac:dyDescent="0.25">
      <c r="A202" t="s">
        <v>6</v>
      </c>
      <c r="B202" t="s">
        <v>7</v>
      </c>
      <c r="C202" t="s">
        <v>118</v>
      </c>
      <c r="D202">
        <v>710460</v>
      </c>
      <c r="E202" t="s">
        <v>10</v>
      </c>
      <c r="F202">
        <v>69.593890000000002</v>
      </c>
      <c r="G202">
        <v>-140.19130000000001</v>
      </c>
      <c r="H202">
        <v>-8</v>
      </c>
      <c r="I202">
        <v>13.2</v>
      </c>
      <c r="J202" t="str">
        <f>HYPERLINK("https://climate.onebuilding.org/WMO_Region_4_North_and_Central_America/CAN_Canada/YT_Yukon/CAN_YT_Komakuk.Beach.AP.710460_TMYx.2009-2023.zip")</f>
        <v>https://climate.onebuilding.org/WMO_Region_4_North_and_Central_America/CAN_Canada/YT_Yukon/CAN_YT_Komakuk.Beach.AP.710460_TMYx.2009-2023.zip</v>
      </c>
    </row>
    <row r="203" spans="1:10" x14ac:dyDescent="0.25">
      <c r="A203" t="s">
        <v>6</v>
      </c>
      <c r="B203" t="s">
        <v>7</v>
      </c>
      <c r="C203" t="s">
        <v>118</v>
      </c>
      <c r="D203">
        <v>710460</v>
      </c>
      <c r="E203" t="s">
        <v>10</v>
      </c>
      <c r="F203">
        <v>69.593890000000002</v>
      </c>
      <c r="G203">
        <v>-140.19130000000001</v>
      </c>
      <c r="H203">
        <v>-8</v>
      </c>
      <c r="I203">
        <v>13.2</v>
      </c>
      <c r="J203" t="str">
        <f>HYPERLINK("https://climate.onebuilding.org/WMO_Region_4_North_and_Central_America/CAN_Canada/YT_Yukon/CAN_YT_Komakuk.Beach.AP.710460_TMYx.zip")</f>
        <v>https://climate.onebuilding.org/WMO_Region_4_North_and_Central_America/CAN_Canada/YT_Yukon/CAN_YT_Komakuk.Beach.AP.710460_TMYx.zip</v>
      </c>
    </row>
    <row r="204" spans="1:10" x14ac:dyDescent="0.25">
      <c r="A204" t="s">
        <v>6</v>
      </c>
      <c r="B204" t="s">
        <v>17</v>
      </c>
      <c r="C204" t="s">
        <v>120</v>
      </c>
      <c r="D204">
        <v>710470</v>
      </c>
      <c r="E204" t="s">
        <v>121</v>
      </c>
      <c r="F204">
        <v>53.455599999999997</v>
      </c>
      <c r="G204">
        <v>-111.25530000000001</v>
      </c>
      <c r="H204">
        <v>-7</v>
      </c>
      <c r="I204">
        <v>656</v>
      </c>
      <c r="J204" t="str">
        <f>HYPERLINK("https://climate.onebuilding.org/WMO_Region_4_North_and_Central_America/CAN_Canada/AB_Alberta/CAN_AB_Mannwille.AgCM.710470_TMYx.2004-2018.zip")</f>
        <v>https://climate.onebuilding.org/WMO_Region_4_North_and_Central_America/CAN_Canada/AB_Alberta/CAN_AB_Mannwille.AgCM.710470_TMYx.2004-2018.zip</v>
      </c>
    </row>
    <row r="205" spans="1:10" x14ac:dyDescent="0.25">
      <c r="A205" t="s">
        <v>6</v>
      </c>
      <c r="B205" t="s">
        <v>17</v>
      </c>
      <c r="C205" t="s">
        <v>120</v>
      </c>
      <c r="D205">
        <v>710470</v>
      </c>
      <c r="E205" t="s">
        <v>10</v>
      </c>
      <c r="F205">
        <v>53.455599999999997</v>
      </c>
      <c r="G205">
        <v>-111.25530000000001</v>
      </c>
      <c r="H205">
        <v>-7</v>
      </c>
      <c r="I205">
        <v>656</v>
      </c>
      <c r="J205" t="str">
        <f>HYPERLINK("https://climate.onebuilding.org/WMO_Region_4_North_and_Central_America/CAN_Canada/AB_Alberta/CAN_AB_Mannwille.AgCM.710470_TMYx.2007-2021.zip")</f>
        <v>https://climate.onebuilding.org/WMO_Region_4_North_and_Central_America/CAN_Canada/AB_Alberta/CAN_AB_Mannwille.AgCM.710470_TMYx.2007-2021.zip</v>
      </c>
    </row>
    <row r="206" spans="1:10" x14ac:dyDescent="0.25">
      <c r="A206" t="s">
        <v>6</v>
      </c>
      <c r="B206" t="s">
        <v>17</v>
      </c>
      <c r="C206" t="s">
        <v>120</v>
      </c>
      <c r="D206">
        <v>710470</v>
      </c>
      <c r="E206" t="s">
        <v>10</v>
      </c>
      <c r="F206">
        <v>53.455599999999997</v>
      </c>
      <c r="G206">
        <v>-111.25530000000001</v>
      </c>
      <c r="H206">
        <v>-7</v>
      </c>
      <c r="I206">
        <v>656</v>
      </c>
      <c r="J206" t="str">
        <f>HYPERLINK("https://climate.onebuilding.org/WMO_Region_4_North_and_Central_America/CAN_Canada/AB_Alberta/CAN_AB_Mannwille.AgCM.710470_TMYx.2009-2023.zip")</f>
        <v>https://climate.onebuilding.org/WMO_Region_4_North_and_Central_America/CAN_Canada/AB_Alberta/CAN_AB_Mannwille.AgCM.710470_TMYx.2009-2023.zip</v>
      </c>
    </row>
    <row r="207" spans="1:10" x14ac:dyDescent="0.25">
      <c r="A207" t="s">
        <v>6</v>
      </c>
      <c r="B207" t="s">
        <v>17</v>
      </c>
      <c r="C207" t="s">
        <v>120</v>
      </c>
      <c r="D207">
        <v>710470</v>
      </c>
      <c r="E207" t="s">
        <v>10</v>
      </c>
      <c r="F207">
        <v>53.455599999999997</v>
      </c>
      <c r="G207">
        <v>-111.25530000000001</v>
      </c>
      <c r="H207">
        <v>-7</v>
      </c>
      <c r="I207">
        <v>656</v>
      </c>
      <c r="J207" t="str">
        <f>HYPERLINK("https://climate.onebuilding.org/WMO_Region_4_North_and_Central_America/CAN_Canada/AB_Alberta/CAN_AB_Mannwille.AgCM.710470_TMYx.zip")</f>
        <v>https://climate.onebuilding.org/WMO_Region_4_North_and_Central_America/CAN_Canada/AB_Alberta/CAN_AB_Mannwille.AgCM.710470_TMYx.zip</v>
      </c>
    </row>
    <row r="208" spans="1:10" x14ac:dyDescent="0.25">
      <c r="A208" t="s">
        <v>6</v>
      </c>
      <c r="B208" t="s">
        <v>17</v>
      </c>
      <c r="C208" t="s">
        <v>122</v>
      </c>
      <c r="D208">
        <v>710480</v>
      </c>
      <c r="E208" t="s">
        <v>123</v>
      </c>
      <c r="F208">
        <v>51.05</v>
      </c>
      <c r="G208">
        <v>-110.31699999999999</v>
      </c>
      <c r="H208">
        <v>-7</v>
      </c>
      <c r="I208">
        <v>735</v>
      </c>
      <c r="J208" t="str">
        <f>HYPERLINK("https://climate.onebuilding.org/WMO_Region_4_North_and_Central_America/CAN_Canada/AB_Alberta/CAN_AB_Acadia.Valley.710480_TMYx.2004-2018.zip")</f>
        <v>https://climate.onebuilding.org/WMO_Region_4_North_and_Central_America/CAN_Canada/AB_Alberta/CAN_AB_Acadia.Valley.710480_TMYx.2004-2018.zip</v>
      </c>
    </row>
    <row r="209" spans="1:10" x14ac:dyDescent="0.25">
      <c r="A209" t="s">
        <v>6</v>
      </c>
      <c r="B209" t="s">
        <v>17</v>
      </c>
      <c r="C209" t="s">
        <v>122</v>
      </c>
      <c r="D209">
        <v>710480</v>
      </c>
      <c r="E209" t="s">
        <v>10</v>
      </c>
      <c r="F209">
        <v>51.05</v>
      </c>
      <c r="G209">
        <v>-110.31699999999999</v>
      </c>
      <c r="H209">
        <v>-7</v>
      </c>
      <c r="I209">
        <v>735</v>
      </c>
      <c r="J209" t="str">
        <f>HYPERLINK("https://climate.onebuilding.org/WMO_Region_4_North_and_Central_America/CAN_Canada/AB_Alberta/CAN_AB_Acadia.Valley.710480_TMYx.2007-2021.zip")</f>
        <v>https://climate.onebuilding.org/WMO_Region_4_North_and_Central_America/CAN_Canada/AB_Alberta/CAN_AB_Acadia.Valley.710480_TMYx.2007-2021.zip</v>
      </c>
    </row>
    <row r="210" spans="1:10" x14ac:dyDescent="0.25">
      <c r="A210" t="s">
        <v>6</v>
      </c>
      <c r="B210" t="s">
        <v>17</v>
      </c>
      <c r="C210" t="s">
        <v>122</v>
      </c>
      <c r="D210">
        <v>710480</v>
      </c>
      <c r="E210" t="s">
        <v>10</v>
      </c>
      <c r="F210">
        <v>51.05</v>
      </c>
      <c r="G210">
        <v>-110.31699999999999</v>
      </c>
      <c r="H210">
        <v>-7</v>
      </c>
      <c r="I210">
        <v>735</v>
      </c>
      <c r="J210" t="str">
        <f>HYPERLINK("https://climate.onebuilding.org/WMO_Region_4_North_and_Central_America/CAN_Canada/AB_Alberta/CAN_AB_Acadia.Valley.710480_TMYx.2009-2023.zip")</f>
        <v>https://climate.onebuilding.org/WMO_Region_4_North_and_Central_America/CAN_Canada/AB_Alberta/CAN_AB_Acadia.Valley.710480_TMYx.2009-2023.zip</v>
      </c>
    </row>
    <row r="211" spans="1:10" x14ac:dyDescent="0.25">
      <c r="A211" t="s">
        <v>6</v>
      </c>
      <c r="B211" t="s">
        <v>17</v>
      </c>
      <c r="C211" t="s">
        <v>122</v>
      </c>
      <c r="D211">
        <v>710480</v>
      </c>
      <c r="E211" t="s">
        <v>10</v>
      </c>
      <c r="F211">
        <v>51.05</v>
      </c>
      <c r="G211">
        <v>-110.31699999999999</v>
      </c>
      <c r="H211">
        <v>-7</v>
      </c>
      <c r="I211">
        <v>735</v>
      </c>
      <c r="J211" t="str">
        <f>HYPERLINK("https://climate.onebuilding.org/WMO_Region_4_North_and_Central_America/CAN_Canada/AB_Alberta/CAN_AB_Acadia.Valley.710480_TMYx.zip")</f>
        <v>https://climate.onebuilding.org/WMO_Region_4_North_and_Central_America/CAN_Canada/AB_Alberta/CAN_AB_Acadia.Valley.710480_TMYx.zip</v>
      </c>
    </row>
    <row r="212" spans="1:10" x14ac:dyDescent="0.25">
      <c r="A212" t="s">
        <v>6</v>
      </c>
      <c r="B212" t="s">
        <v>42</v>
      </c>
      <c r="C212" t="s">
        <v>124</v>
      </c>
      <c r="D212">
        <v>710490</v>
      </c>
      <c r="E212" t="s">
        <v>125</v>
      </c>
      <c r="F212">
        <v>65.867000000000004</v>
      </c>
      <c r="G212">
        <v>-89.433000000000007</v>
      </c>
      <c r="H212">
        <v>-6</v>
      </c>
      <c r="I212">
        <v>18</v>
      </c>
      <c r="J212" t="str">
        <f>HYPERLINK("https://climate.onebuilding.org/WMO_Region_4_North_and_Central_America/CAN_Canada/NU_Nunavut/CAN_NU_Wager.Bay.710490_TMYx.2004-2018.zip")</f>
        <v>https://climate.onebuilding.org/WMO_Region_4_North_and_Central_America/CAN_Canada/NU_Nunavut/CAN_NU_Wager.Bay.710490_TMYx.2004-2018.zip</v>
      </c>
    </row>
    <row r="213" spans="1:10" x14ac:dyDescent="0.25">
      <c r="A213" t="s">
        <v>6</v>
      </c>
      <c r="B213" t="s">
        <v>42</v>
      </c>
      <c r="C213" t="s">
        <v>124</v>
      </c>
      <c r="D213">
        <v>710490</v>
      </c>
      <c r="E213" t="s">
        <v>10</v>
      </c>
      <c r="F213">
        <v>65.867000000000004</v>
      </c>
      <c r="G213">
        <v>-89.433000000000007</v>
      </c>
      <c r="H213">
        <v>-6</v>
      </c>
      <c r="I213">
        <v>18</v>
      </c>
      <c r="J213" t="str">
        <f>HYPERLINK("https://climate.onebuilding.org/WMO_Region_4_North_and_Central_America/CAN_Canada/NU_Nunavut/CAN_NU_Wager.Bay.710490_TMYx.2007-2021.zip")</f>
        <v>https://climate.onebuilding.org/WMO_Region_4_North_and_Central_America/CAN_Canada/NU_Nunavut/CAN_NU_Wager.Bay.710490_TMYx.2007-2021.zip</v>
      </c>
    </row>
    <row r="214" spans="1:10" x14ac:dyDescent="0.25">
      <c r="A214" t="s">
        <v>6</v>
      </c>
      <c r="B214" t="s">
        <v>42</v>
      </c>
      <c r="C214" t="s">
        <v>124</v>
      </c>
      <c r="D214">
        <v>710490</v>
      </c>
      <c r="E214" t="s">
        <v>10</v>
      </c>
      <c r="F214">
        <v>65.867000000000004</v>
      </c>
      <c r="G214">
        <v>-89.433000000000007</v>
      </c>
      <c r="H214">
        <v>-6</v>
      </c>
      <c r="I214">
        <v>18</v>
      </c>
      <c r="J214" t="str">
        <f>HYPERLINK("https://climate.onebuilding.org/WMO_Region_4_North_and_Central_America/CAN_Canada/NU_Nunavut/CAN_NU_Wager.Bay.710490_TMYx.2009-2023.zip")</f>
        <v>https://climate.onebuilding.org/WMO_Region_4_North_and_Central_America/CAN_Canada/NU_Nunavut/CAN_NU_Wager.Bay.710490_TMYx.2009-2023.zip</v>
      </c>
    </row>
    <row r="215" spans="1:10" x14ac:dyDescent="0.25">
      <c r="A215" t="s">
        <v>6</v>
      </c>
      <c r="B215" t="s">
        <v>42</v>
      </c>
      <c r="C215" t="s">
        <v>124</v>
      </c>
      <c r="D215">
        <v>710490</v>
      </c>
      <c r="E215" t="s">
        <v>10</v>
      </c>
      <c r="F215">
        <v>65.867000000000004</v>
      </c>
      <c r="G215">
        <v>-89.433000000000007</v>
      </c>
      <c r="H215">
        <v>-6</v>
      </c>
      <c r="I215">
        <v>18</v>
      </c>
      <c r="J215" t="str">
        <f>HYPERLINK("https://climate.onebuilding.org/WMO_Region_4_North_and_Central_America/CAN_Canada/NU_Nunavut/CAN_NU_Wager.Bay.710490_TMYx.zip")</f>
        <v>https://climate.onebuilding.org/WMO_Region_4_North_and_Central_America/CAN_Canada/NU_Nunavut/CAN_NU_Wager.Bay.710490_TMYx.zip</v>
      </c>
    </row>
    <row r="216" spans="1:10" x14ac:dyDescent="0.25">
      <c r="A216" t="s">
        <v>6</v>
      </c>
      <c r="B216" t="s">
        <v>55</v>
      </c>
      <c r="C216" t="s">
        <v>126</v>
      </c>
      <c r="D216">
        <v>710500</v>
      </c>
      <c r="E216" t="s">
        <v>127</v>
      </c>
      <c r="F216">
        <v>52.1</v>
      </c>
      <c r="G216">
        <v>-124.133</v>
      </c>
      <c r="H216">
        <v>-8</v>
      </c>
      <c r="I216">
        <v>910</v>
      </c>
      <c r="J216" t="str">
        <f>HYPERLINK("https://climate.onebuilding.org/WMO_Region_4_North_and_Central_America/CAN_Canada/BC_British_Columbia/CAN_BC_Puntzi.Mountain.AP.710500_TMYx.2004-2018.zip")</f>
        <v>https://climate.onebuilding.org/WMO_Region_4_North_and_Central_America/CAN_Canada/BC_British_Columbia/CAN_BC_Puntzi.Mountain.AP.710500_TMYx.2004-2018.zip</v>
      </c>
    </row>
    <row r="217" spans="1:10" x14ac:dyDescent="0.25">
      <c r="A217" t="s">
        <v>6</v>
      </c>
      <c r="B217" t="s">
        <v>55</v>
      </c>
      <c r="C217" t="s">
        <v>126</v>
      </c>
      <c r="D217">
        <v>710500</v>
      </c>
      <c r="E217" t="s">
        <v>10</v>
      </c>
      <c r="F217">
        <v>52.1</v>
      </c>
      <c r="G217">
        <v>-124.133</v>
      </c>
      <c r="H217">
        <v>-8</v>
      </c>
      <c r="I217">
        <v>910</v>
      </c>
      <c r="J217" t="str">
        <f>HYPERLINK("https://climate.onebuilding.org/WMO_Region_4_North_and_Central_America/CAN_Canada/BC_British_Columbia/CAN_BC_Puntzi.Mountain.AP.710500_TMYx.2007-2021.zip")</f>
        <v>https://climate.onebuilding.org/WMO_Region_4_North_and_Central_America/CAN_Canada/BC_British_Columbia/CAN_BC_Puntzi.Mountain.AP.710500_TMYx.2007-2021.zip</v>
      </c>
    </row>
    <row r="218" spans="1:10" x14ac:dyDescent="0.25">
      <c r="A218" t="s">
        <v>6</v>
      </c>
      <c r="B218" t="s">
        <v>55</v>
      </c>
      <c r="C218" t="s">
        <v>126</v>
      </c>
      <c r="D218">
        <v>710500</v>
      </c>
      <c r="E218" t="s">
        <v>10</v>
      </c>
      <c r="F218">
        <v>52.1</v>
      </c>
      <c r="G218">
        <v>-124.133</v>
      </c>
      <c r="H218">
        <v>-8</v>
      </c>
      <c r="I218">
        <v>910</v>
      </c>
      <c r="J218" t="str">
        <f>HYPERLINK("https://climate.onebuilding.org/WMO_Region_4_North_and_Central_America/CAN_Canada/BC_British_Columbia/CAN_BC_Puntzi.Mountain.AP.710500_TMYx.2009-2023.zip")</f>
        <v>https://climate.onebuilding.org/WMO_Region_4_North_and_Central_America/CAN_Canada/BC_British_Columbia/CAN_BC_Puntzi.Mountain.AP.710500_TMYx.2009-2023.zip</v>
      </c>
    </row>
    <row r="219" spans="1:10" x14ac:dyDescent="0.25">
      <c r="A219" t="s">
        <v>6</v>
      </c>
      <c r="B219" t="s">
        <v>55</v>
      </c>
      <c r="C219" t="s">
        <v>126</v>
      </c>
      <c r="D219">
        <v>710500</v>
      </c>
      <c r="E219" t="s">
        <v>10</v>
      </c>
      <c r="F219">
        <v>52.1</v>
      </c>
      <c r="G219">
        <v>-124.133</v>
      </c>
      <c r="H219">
        <v>-8</v>
      </c>
      <c r="I219">
        <v>910</v>
      </c>
      <c r="J219" t="str">
        <f>HYPERLINK("https://climate.onebuilding.org/WMO_Region_4_North_and_Central_America/CAN_Canada/BC_British_Columbia/CAN_BC_Puntzi.Mountain.AP.710500_TMYx.zip")</f>
        <v>https://climate.onebuilding.org/WMO_Region_4_North_and_Central_America/CAN_Canada/BC_British_Columbia/CAN_BC_Puntzi.Mountain.AP.710500_TMYx.zip</v>
      </c>
    </row>
    <row r="220" spans="1:10" x14ac:dyDescent="0.25">
      <c r="A220" t="s">
        <v>6</v>
      </c>
      <c r="B220" t="s">
        <v>17</v>
      </c>
      <c r="C220" t="s">
        <v>128</v>
      </c>
      <c r="D220">
        <v>710510</v>
      </c>
      <c r="E220" t="s">
        <v>129</v>
      </c>
      <c r="F220">
        <v>49.363900000000001</v>
      </c>
      <c r="G220">
        <v>-110.6781</v>
      </c>
      <c r="H220">
        <v>-7</v>
      </c>
      <c r="I220">
        <v>927</v>
      </c>
      <c r="J220" t="str">
        <f>HYPERLINK("https://climate.onebuilding.org/WMO_Region_4_North_and_Central_America/CAN_Canada/AB_Alberta/CAN_AB_Manyberries.AgCM.710510_TMYx.2004-2018.zip")</f>
        <v>https://climate.onebuilding.org/WMO_Region_4_North_and_Central_America/CAN_Canada/AB_Alberta/CAN_AB_Manyberries.AgCM.710510_TMYx.2004-2018.zip</v>
      </c>
    </row>
    <row r="221" spans="1:10" x14ac:dyDescent="0.25">
      <c r="A221" t="s">
        <v>6</v>
      </c>
      <c r="B221" t="s">
        <v>17</v>
      </c>
      <c r="C221" t="s">
        <v>128</v>
      </c>
      <c r="D221">
        <v>710510</v>
      </c>
      <c r="E221" t="s">
        <v>10</v>
      </c>
      <c r="F221">
        <v>49.363900000000001</v>
      </c>
      <c r="G221">
        <v>-110.6781</v>
      </c>
      <c r="H221">
        <v>-7</v>
      </c>
      <c r="I221">
        <v>927</v>
      </c>
      <c r="J221" t="str">
        <f>HYPERLINK("https://climate.onebuilding.org/WMO_Region_4_North_and_Central_America/CAN_Canada/AB_Alberta/CAN_AB_Manyberries.AgCM.710510_TMYx.2007-2021.zip")</f>
        <v>https://climate.onebuilding.org/WMO_Region_4_North_and_Central_America/CAN_Canada/AB_Alberta/CAN_AB_Manyberries.AgCM.710510_TMYx.2007-2021.zip</v>
      </c>
    </row>
    <row r="222" spans="1:10" x14ac:dyDescent="0.25">
      <c r="A222" t="s">
        <v>6</v>
      </c>
      <c r="B222" t="s">
        <v>17</v>
      </c>
      <c r="C222" t="s">
        <v>128</v>
      </c>
      <c r="D222">
        <v>710510</v>
      </c>
      <c r="E222" t="s">
        <v>10</v>
      </c>
      <c r="F222">
        <v>49.363900000000001</v>
      </c>
      <c r="G222">
        <v>-110.6781</v>
      </c>
      <c r="H222">
        <v>-7</v>
      </c>
      <c r="I222">
        <v>927</v>
      </c>
      <c r="J222" t="str">
        <f>HYPERLINK("https://climate.onebuilding.org/WMO_Region_4_North_and_Central_America/CAN_Canada/AB_Alberta/CAN_AB_Manyberries.AgCM.710510_TMYx.2009-2023.zip")</f>
        <v>https://climate.onebuilding.org/WMO_Region_4_North_and_Central_America/CAN_Canada/AB_Alberta/CAN_AB_Manyberries.AgCM.710510_TMYx.2009-2023.zip</v>
      </c>
    </row>
    <row r="223" spans="1:10" x14ac:dyDescent="0.25">
      <c r="A223" t="s">
        <v>6</v>
      </c>
      <c r="B223" t="s">
        <v>17</v>
      </c>
      <c r="C223" t="s">
        <v>128</v>
      </c>
      <c r="D223">
        <v>710510</v>
      </c>
      <c r="E223" t="s">
        <v>10</v>
      </c>
      <c r="F223">
        <v>49.363900000000001</v>
      </c>
      <c r="G223">
        <v>-110.6781</v>
      </c>
      <c r="H223">
        <v>-7</v>
      </c>
      <c r="I223">
        <v>927</v>
      </c>
      <c r="J223" t="str">
        <f>HYPERLINK("https://climate.onebuilding.org/WMO_Region_4_North_and_Central_America/CAN_Canada/AB_Alberta/CAN_AB_Manyberries.AgCM.710510_TMYx.zip")</f>
        <v>https://climate.onebuilding.org/WMO_Region_4_North_and_Central_America/CAN_Canada/AB_Alberta/CAN_AB_Manyberries.AgCM.710510_TMYx.zip</v>
      </c>
    </row>
    <row r="224" spans="1:10" x14ac:dyDescent="0.25">
      <c r="A224" t="s">
        <v>6</v>
      </c>
      <c r="B224" t="s">
        <v>130</v>
      </c>
      <c r="C224" t="s">
        <v>131</v>
      </c>
      <c r="D224">
        <v>710514</v>
      </c>
      <c r="E224" t="s">
        <v>132</v>
      </c>
      <c r="F224">
        <v>48.755000000000003</v>
      </c>
      <c r="G224">
        <v>-86.343999999999994</v>
      </c>
      <c r="H224">
        <v>-5</v>
      </c>
      <c r="I224">
        <v>315.5</v>
      </c>
      <c r="J224" t="str">
        <f>HYPERLINK("https://climate.onebuilding.org/WMO_Region_4_North_and_Central_America/CAN_Canada/ON_Ontario/CAN_ON_Marathon.AP.710514_TMYx.2004-2018.zip")</f>
        <v>https://climate.onebuilding.org/WMO_Region_4_North_and_Central_America/CAN_Canada/ON_Ontario/CAN_ON_Marathon.AP.710514_TMYx.2004-2018.zip</v>
      </c>
    </row>
    <row r="225" spans="1:10" x14ac:dyDescent="0.25">
      <c r="A225" t="s">
        <v>6</v>
      </c>
      <c r="B225" t="s">
        <v>130</v>
      </c>
      <c r="C225" t="s">
        <v>131</v>
      </c>
      <c r="D225">
        <v>710514</v>
      </c>
      <c r="E225" t="s">
        <v>10</v>
      </c>
      <c r="F225">
        <v>48.755000000000003</v>
      </c>
      <c r="G225">
        <v>-86.343999999999994</v>
      </c>
      <c r="H225">
        <v>-5</v>
      </c>
      <c r="I225">
        <v>315.5</v>
      </c>
      <c r="J225" t="str">
        <f>HYPERLINK("https://climate.onebuilding.org/WMO_Region_4_North_and_Central_America/CAN_Canada/ON_Ontario/CAN_ON_Marathon.AP.710514_TMYx.2007-2021.zip")</f>
        <v>https://climate.onebuilding.org/WMO_Region_4_North_and_Central_America/CAN_Canada/ON_Ontario/CAN_ON_Marathon.AP.710514_TMYx.2007-2021.zip</v>
      </c>
    </row>
    <row r="226" spans="1:10" x14ac:dyDescent="0.25">
      <c r="A226" t="s">
        <v>6</v>
      </c>
      <c r="B226" t="s">
        <v>130</v>
      </c>
      <c r="C226" t="s">
        <v>131</v>
      </c>
      <c r="D226">
        <v>710514</v>
      </c>
      <c r="E226" t="s">
        <v>10</v>
      </c>
      <c r="F226">
        <v>48.755000000000003</v>
      </c>
      <c r="G226">
        <v>-86.343999999999994</v>
      </c>
      <c r="H226">
        <v>-5</v>
      </c>
      <c r="I226">
        <v>315.5</v>
      </c>
      <c r="J226" t="str">
        <f>HYPERLINK("https://climate.onebuilding.org/WMO_Region_4_North_and_Central_America/CAN_Canada/ON_Ontario/CAN_ON_Marathon.AP.710514_TMYx.2009-2023.zip")</f>
        <v>https://climate.onebuilding.org/WMO_Region_4_North_and_Central_America/CAN_Canada/ON_Ontario/CAN_ON_Marathon.AP.710514_TMYx.2009-2023.zip</v>
      </c>
    </row>
    <row r="227" spans="1:10" x14ac:dyDescent="0.25">
      <c r="A227" t="s">
        <v>6</v>
      </c>
      <c r="B227" t="s">
        <v>130</v>
      </c>
      <c r="C227" t="s">
        <v>131</v>
      </c>
      <c r="D227">
        <v>710514</v>
      </c>
      <c r="E227" t="s">
        <v>10</v>
      </c>
      <c r="F227">
        <v>48.755000000000003</v>
      </c>
      <c r="G227">
        <v>-86.343999999999994</v>
      </c>
      <c r="H227">
        <v>-5</v>
      </c>
      <c r="I227">
        <v>315.5</v>
      </c>
      <c r="J227" t="str">
        <f>HYPERLINK("https://climate.onebuilding.org/WMO_Region_4_North_and_Central_America/CAN_Canada/ON_Ontario/CAN_ON_Marathon.AP.710514_TMYx.zip")</f>
        <v>https://climate.onebuilding.org/WMO_Region_4_North_and_Central_America/CAN_Canada/ON_Ontario/CAN_ON_Marathon.AP.710514_TMYx.zip</v>
      </c>
    </row>
    <row r="228" spans="1:10" x14ac:dyDescent="0.25">
      <c r="A228" t="s">
        <v>6</v>
      </c>
      <c r="B228" t="s">
        <v>48</v>
      </c>
      <c r="C228" t="s">
        <v>133</v>
      </c>
      <c r="D228">
        <v>710520</v>
      </c>
      <c r="E228" t="s">
        <v>134</v>
      </c>
      <c r="F228">
        <v>68.900000000000006</v>
      </c>
      <c r="G228">
        <v>-133.93</v>
      </c>
      <c r="H228">
        <v>-7</v>
      </c>
      <c r="I228">
        <v>261</v>
      </c>
      <c r="J228" t="str">
        <f>HYPERLINK("https://climate.onebuilding.org/WMO_Region_4_North_and_Central_America/CAN_Canada/NT_Northwest_Territories/CAN_NT_Storm.Hills.710520_TMYx.2004-2018.zip")</f>
        <v>https://climate.onebuilding.org/WMO_Region_4_North_and_Central_America/CAN_Canada/NT_Northwest_Territories/CAN_NT_Storm.Hills.710520_TMYx.2004-2018.zip</v>
      </c>
    </row>
    <row r="229" spans="1:10" x14ac:dyDescent="0.25">
      <c r="A229" t="s">
        <v>6</v>
      </c>
      <c r="B229" t="s">
        <v>48</v>
      </c>
      <c r="C229" t="s">
        <v>133</v>
      </c>
      <c r="D229">
        <v>710520</v>
      </c>
      <c r="E229" t="s">
        <v>10</v>
      </c>
      <c r="F229">
        <v>68.900000000000006</v>
      </c>
      <c r="G229">
        <v>-133.93</v>
      </c>
      <c r="H229">
        <v>-7</v>
      </c>
      <c r="I229">
        <v>261</v>
      </c>
      <c r="J229" t="str">
        <f>HYPERLINK("https://climate.onebuilding.org/WMO_Region_4_North_and_Central_America/CAN_Canada/NT_Northwest_Territories/CAN_NT_Storm.Hills.710520_TMYx.2007-2021.zip")</f>
        <v>https://climate.onebuilding.org/WMO_Region_4_North_and_Central_America/CAN_Canada/NT_Northwest_Territories/CAN_NT_Storm.Hills.710520_TMYx.2007-2021.zip</v>
      </c>
    </row>
    <row r="230" spans="1:10" x14ac:dyDescent="0.25">
      <c r="A230" t="s">
        <v>6</v>
      </c>
      <c r="B230" t="s">
        <v>48</v>
      </c>
      <c r="C230" t="s">
        <v>133</v>
      </c>
      <c r="D230">
        <v>710520</v>
      </c>
      <c r="E230" t="s">
        <v>10</v>
      </c>
      <c r="F230">
        <v>68.900000000000006</v>
      </c>
      <c r="G230">
        <v>-133.93</v>
      </c>
      <c r="H230">
        <v>-7</v>
      </c>
      <c r="I230">
        <v>261</v>
      </c>
      <c r="J230" t="str">
        <f>HYPERLINK("https://climate.onebuilding.org/WMO_Region_4_North_and_Central_America/CAN_Canada/NT_Northwest_Territories/CAN_NT_Storm.Hills.710520_TMYx.2009-2023.zip")</f>
        <v>https://climate.onebuilding.org/WMO_Region_4_North_and_Central_America/CAN_Canada/NT_Northwest_Territories/CAN_NT_Storm.Hills.710520_TMYx.2009-2023.zip</v>
      </c>
    </row>
    <row r="231" spans="1:10" x14ac:dyDescent="0.25">
      <c r="A231" t="s">
        <v>6</v>
      </c>
      <c r="B231" t="s">
        <v>48</v>
      </c>
      <c r="C231" t="s">
        <v>133</v>
      </c>
      <c r="D231">
        <v>710520</v>
      </c>
      <c r="E231" t="s">
        <v>10</v>
      </c>
      <c r="F231">
        <v>68.900000000000006</v>
      </c>
      <c r="G231">
        <v>-133.93</v>
      </c>
      <c r="H231">
        <v>-7</v>
      </c>
      <c r="I231">
        <v>261</v>
      </c>
      <c r="J231" t="str">
        <f>HYPERLINK("https://climate.onebuilding.org/WMO_Region_4_North_and_Central_America/CAN_Canada/NT_Northwest_Territories/CAN_NT_Storm.Hills.710520_TMYx.zip")</f>
        <v>https://climate.onebuilding.org/WMO_Region_4_North_and_Central_America/CAN_Canada/NT_Northwest_Territories/CAN_NT_Storm.Hills.710520_TMYx.zip</v>
      </c>
    </row>
    <row r="232" spans="1:10" x14ac:dyDescent="0.25">
      <c r="A232" t="s">
        <v>6</v>
      </c>
      <c r="B232" t="s">
        <v>42</v>
      </c>
      <c r="C232" t="s">
        <v>135</v>
      </c>
      <c r="D232">
        <v>710530</v>
      </c>
      <c r="E232" t="s">
        <v>10</v>
      </c>
      <c r="F232">
        <v>69.582999999999998</v>
      </c>
      <c r="G232">
        <v>-120.75</v>
      </c>
      <c r="H232">
        <v>-7</v>
      </c>
      <c r="I232">
        <v>101</v>
      </c>
      <c r="J232" t="str">
        <f>HYPERLINK("https://climate.onebuilding.org/WMO_Region_4_North_and_Central_America/CAN_Canada/NU_Nunavut/CAN_NU_Clinton.Point.AP.710530_TMYx.zip")</f>
        <v>https://climate.onebuilding.org/WMO_Region_4_North_and_Central_America/CAN_Canada/NU_Nunavut/CAN_NU_Clinton.Point.AP.710530_TMYx.zip</v>
      </c>
    </row>
    <row r="233" spans="1:10" x14ac:dyDescent="0.25">
      <c r="A233" t="s">
        <v>6</v>
      </c>
      <c r="B233" t="s">
        <v>48</v>
      </c>
      <c r="C233" t="s">
        <v>136</v>
      </c>
      <c r="D233">
        <v>710550</v>
      </c>
      <c r="E233" t="s">
        <v>137</v>
      </c>
      <c r="F233">
        <v>67.033000000000001</v>
      </c>
      <c r="G233">
        <v>-126.06699999999999</v>
      </c>
      <c r="H233">
        <v>-7</v>
      </c>
      <c r="I233">
        <v>259</v>
      </c>
      <c r="J233" t="str">
        <f>HYPERLINK("https://climate.onebuilding.org/WMO_Region_4_North_and_Central_America/CAN_Canada/NT_Northwest_Territories/CAN_NT_Colville.Lake.AP.710550_TMYx.2004-2018.zip")</f>
        <v>https://climate.onebuilding.org/WMO_Region_4_North_and_Central_America/CAN_Canada/NT_Northwest_Territories/CAN_NT_Colville.Lake.AP.710550_TMYx.2004-2018.zip</v>
      </c>
    </row>
    <row r="234" spans="1:10" x14ac:dyDescent="0.25">
      <c r="A234" t="s">
        <v>6</v>
      </c>
      <c r="B234" t="s">
        <v>48</v>
      </c>
      <c r="C234" t="s">
        <v>136</v>
      </c>
      <c r="D234">
        <v>710550</v>
      </c>
      <c r="E234" t="s">
        <v>10</v>
      </c>
      <c r="F234">
        <v>67.033000000000001</v>
      </c>
      <c r="G234">
        <v>-126.06699999999999</v>
      </c>
      <c r="H234">
        <v>-7</v>
      </c>
      <c r="I234">
        <v>259</v>
      </c>
      <c r="J234" t="str">
        <f>HYPERLINK("https://climate.onebuilding.org/WMO_Region_4_North_and_Central_America/CAN_Canada/NT_Northwest_Territories/CAN_NT_Colville.Lake.AP.710550_TMYx.2007-2021.zip")</f>
        <v>https://climate.onebuilding.org/WMO_Region_4_North_and_Central_America/CAN_Canada/NT_Northwest_Territories/CAN_NT_Colville.Lake.AP.710550_TMYx.2007-2021.zip</v>
      </c>
    </row>
    <row r="235" spans="1:10" x14ac:dyDescent="0.25">
      <c r="A235" t="s">
        <v>6</v>
      </c>
      <c r="B235" t="s">
        <v>48</v>
      </c>
      <c r="C235" t="s">
        <v>136</v>
      </c>
      <c r="D235">
        <v>710550</v>
      </c>
      <c r="E235" t="s">
        <v>10</v>
      </c>
      <c r="F235">
        <v>67.033000000000001</v>
      </c>
      <c r="G235">
        <v>-126.06699999999999</v>
      </c>
      <c r="H235">
        <v>-7</v>
      </c>
      <c r="I235">
        <v>259</v>
      </c>
      <c r="J235" t="str">
        <f>HYPERLINK("https://climate.onebuilding.org/WMO_Region_4_North_and_Central_America/CAN_Canada/NT_Northwest_Territories/CAN_NT_Colville.Lake.AP.710550_TMYx.2009-2023.zip")</f>
        <v>https://climate.onebuilding.org/WMO_Region_4_North_and_Central_America/CAN_Canada/NT_Northwest_Territories/CAN_NT_Colville.Lake.AP.710550_TMYx.2009-2023.zip</v>
      </c>
    </row>
    <row r="236" spans="1:10" x14ac:dyDescent="0.25">
      <c r="A236" t="s">
        <v>6</v>
      </c>
      <c r="B236" t="s">
        <v>48</v>
      </c>
      <c r="C236" t="s">
        <v>136</v>
      </c>
      <c r="D236">
        <v>710550</v>
      </c>
      <c r="E236" t="s">
        <v>10</v>
      </c>
      <c r="F236">
        <v>67.033000000000001</v>
      </c>
      <c r="G236">
        <v>-126.06699999999999</v>
      </c>
      <c r="H236">
        <v>-7</v>
      </c>
      <c r="I236">
        <v>259</v>
      </c>
      <c r="J236" t="str">
        <f>HYPERLINK("https://climate.onebuilding.org/WMO_Region_4_North_and_Central_America/CAN_Canada/NT_Northwest_Territories/CAN_NT_Colville.Lake.AP.710550_TMYx.zip")</f>
        <v>https://climate.onebuilding.org/WMO_Region_4_North_and_Central_America/CAN_Canada/NT_Northwest_Territories/CAN_NT_Colville.Lake.AP.710550_TMYx.zip</v>
      </c>
    </row>
    <row r="237" spans="1:10" x14ac:dyDescent="0.25">
      <c r="A237" t="s">
        <v>6</v>
      </c>
      <c r="B237" t="s">
        <v>17</v>
      </c>
      <c r="C237" t="s">
        <v>138</v>
      </c>
      <c r="D237">
        <v>710560</v>
      </c>
      <c r="E237" t="s">
        <v>139</v>
      </c>
      <c r="F237">
        <v>58.767200000000003</v>
      </c>
      <c r="G237">
        <v>-111.1172</v>
      </c>
      <c r="H237">
        <v>-7</v>
      </c>
      <c r="I237">
        <v>238</v>
      </c>
      <c r="J237" t="str">
        <f>HYPERLINK("https://climate.onebuilding.org/WMO_Region_4_North_and_Central_America/CAN_Canada/AB_Alberta/CAN_AB_Fort.Chipewyan.AP.RCS.710560_TMYx.2004-2018.zip")</f>
        <v>https://climate.onebuilding.org/WMO_Region_4_North_and_Central_America/CAN_Canada/AB_Alberta/CAN_AB_Fort.Chipewyan.AP.RCS.710560_TMYx.2004-2018.zip</v>
      </c>
    </row>
    <row r="238" spans="1:10" x14ac:dyDescent="0.25">
      <c r="A238" t="s">
        <v>6</v>
      </c>
      <c r="B238" t="s">
        <v>17</v>
      </c>
      <c r="C238" t="s">
        <v>138</v>
      </c>
      <c r="D238">
        <v>710560</v>
      </c>
      <c r="E238" t="s">
        <v>10</v>
      </c>
      <c r="F238">
        <v>58.767200000000003</v>
      </c>
      <c r="G238">
        <v>-111.1172</v>
      </c>
      <c r="H238">
        <v>-7</v>
      </c>
      <c r="I238">
        <v>238</v>
      </c>
      <c r="J238" t="str">
        <f>HYPERLINK("https://climate.onebuilding.org/WMO_Region_4_North_and_Central_America/CAN_Canada/AB_Alberta/CAN_AB_Fort.Chipewyan.AP.RCS.710560_TMYx.2007-2021.zip")</f>
        <v>https://climate.onebuilding.org/WMO_Region_4_North_and_Central_America/CAN_Canada/AB_Alberta/CAN_AB_Fort.Chipewyan.AP.RCS.710560_TMYx.2007-2021.zip</v>
      </c>
    </row>
    <row r="239" spans="1:10" x14ac:dyDescent="0.25">
      <c r="A239" t="s">
        <v>6</v>
      </c>
      <c r="B239" t="s">
        <v>17</v>
      </c>
      <c r="C239" t="s">
        <v>138</v>
      </c>
      <c r="D239">
        <v>710560</v>
      </c>
      <c r="E239" t="s">
        <v>10</v>
      </c>
      <c r="F239">
        <v>58.767200000000003</v>
      </c>
      <c r="G239">
        <v>-111.1172</v>
      </c>
      <c r="H239">
        <v>-7</v>
      </c>
      <c r="I239">
        <v>238</v>
      </c>
      <c r="J239" t="str">
        <f>HYPERLINK("https://climate.onebuilding.org/WMO_Region_4_North_and_Central_America/CAN_Canada/AB_Alberta/CAN_AB_Fort.Chipewyan.AP.RCS.710560_TMYx.2009-2023.zip")</f>
        <v>https://climate.onebuilding.org/WMO_Region_4_North_and_Central_America/CAN_Canada/AB_Alberta/CAN_AB_Fort.Chipewyan.AP.RCS.710560_TMYx.2009-2023.zip</v>
      </c>
    </row>
    <row r="240" spans="1:10" x14ac:dyDescent="0.25">
      <c r="A240" t="s">
        <v>6</v>
      </c>
      <c r="B240" t="s">
        <v>17</v>
      </c>
      <c r="C240" t="s">
        <v>138</v>
      </c>
      <c r="D240">
        <v>710560</v>
      </c>
      <c r="E240" t="s">
        <v>10</v>
      </c>
      <c r="F240">
        <v>58.767200000000003</v>
      </c>
      <c r="G240">
        <v>-111.1172</v>
      </c>
      <c r="H240">
        <v>-7</v>
      </c>
      <c r="I240">
        <v>238</v>
      </c>
      <c r="J240" t="str">
        <f>HYPERLINK("https://climate.onebuilding.org/WMO_Region_4_North_and_Central_America/CAN_Canada/AB_Alberta/CAN_AB_Fort.Chipewyan.AP.RCS.710560_TMYx.zip")</f>
        <v>https://climate.onebuilding.org/WMO_Region_4_North_and_Central_America/CAN_Canada/AB_Alberta/CAN_AB_Fort.Chipewyan.AP.RCS.710560_TMYx.zip</v>
      </c>
    </row>
    <row r="241" spans="1:10" x14ac:dyDescent="0.25">
      <c r="A241" t="s">
        <v>6</v>
      </c>
      <c r="B241" t="s">
        <v>48</v>
      </c>
      <c r="C241" t="s">
        <v>140</v>
      </c>
      <c r="D241">
        <v>710561</v>
      </c>
      <c r="E241" t="s">
        <v>10</v>
      </c>
      <c r="F241">
        <v>65.599549999999994</v>
      </c>
      <c r="G241">
        <v>-117.76949999999999</v>
      </c>
      <c r="H241">
        <v>-8</v>
      </c>
      <c r="I241">
        <v>198</v>
      </c>
      <c r="J241" t="str">
        <f>HYPERLINK("https://climate.onebuilding.org/WMO_Region_4_North_and_Central_America/CAN_Canada/NT_Northwest_Territories/CAN_NT_Clut.Lake.710561_TMYx.zip")</f>
        <v>https://climate.onebuilding.org/WMO_Region_4_North_and_Central_America/CAN_Canada/NT_Northwest_Territories/CAN_NT_Clut.Lake.710561_TMYx.zip</v>
      </c>
    </row>
    <row r="242" spans="1:10" x14ac:dyDescent="0.25">
      <c r="A242" t="s">
        <v>6</v>
      </c>
      <c r="B242" t="s">
        <v>17</v>
      </c>
      <c r="C242" t="s">
        <v>141</v>
      </c>
      <c r="D242">
        <v>710570</v>
      </c>
      <c r="E242" t="s">
        <v>142</v>
      </c>
      <c r="F242">
        <v>50.667000000000002</v>
      </c>
      <c r="G242">
        <v>-113.333</v>
      </c>
      <c r="H242">
        <v>-7</v>
      </c>
      <c r="I242">
        <v>965</v>
      </c>
      <c r="J242" t="str">
        <f>HYPERLINK("https://climate.onebuilding.org/WMO_Region_4_North_and_Central_America/CAN_Canada/AB_Alberta/CAN_AB_Mossleigh.AgCM.710570_TMYx.2004-2018.zip")</f>
        <v>https://climate.onebuilding.org/WMO_Region_4_North_and_Central_America/CAN_Canada/AB_Alberta/CAN_AB_Mossleigh.AgCM.710570_TMYx.2004-2018.zip</v>
      </c>
    </row>
    <row r="243" spans="1:10" x14ac:dyDescent="0.25">
      <c r="A243" t="s">
        <v>6</v>
      </c>
      <c r="B243" t="s">
        <v>17</v>
      </c>
      <c r="C243" t="s">
        <v>141</v>
      </c>
      <c r="D243">
        <v>710570</v>
      </c>
      <c r="E243" t="s">
        <v>10</v>
      </c>
      <c r="F243">
        <v>50.667000000000002</v>
      </c>
      <c r="G243">
        <v>-113.333</v>
      </c>
      <c r="H243">
        <v>-7</v>
      </c>
      <c r="I243">
        <v>965</v>
      </c>
      <c r="J243" t="str">
        <f>HYPERLINK("https://climate.onebuilding.org/WMO_Region_4_North_and_Central_America/CAN_Canada/AB_Alberta/CAN_AB_Mossleigh.AgCM.710570_TMYx.2007-2021.zip")</f>
        <v>https://climate.onebuilding.org/WMO_Region_4_North_and_Central_America/CAN_Canada/AB_Alberta/CAN_AB_Mossleigh.AgCM.710570_TMYx.2007-2021.zip</v>
      </c>
    </row>
    <row r="244" spans="1:10" x14ac:dyDescent="0.25">
      <c r="A244" t="s">
        <v>6</v>
      </c>
      <c r="B244" t="s">
        <v>17</v>
      </c>
      <c r="C244" t="s">
        <v>141</v>
      </c>
      <c r="D244">
        <v>710570</v>
      </c>
      <c r="E244" t="s">
        <v>10</v>
      </c>
      <c r="F244">
        <v>50.667000000000002</v>
      </c>
      <c r="G244">
        <v>-113.333</v>
      </c>
      <c r="H244">
        <v>-7</v>
      </c>
      <c r="I244">
        <v>965</v>
      </c>
      <c r="J244" t="str">
        <f>HYPERLINK("https://climate.onebuilding.org/WMO_Region_4_North_and_Central_America/CAN_Canada/AB_Alberta/CAN_AB_Mossleigh.AgCM.710570_TMYx.2009-2023.zip")</f>
        <v>https://climate.onebuilding.org/WMO_Region_4_North_and_Central_America/CAN_Canada/AB_Alberta/CAN_AB_Mossleigh.AgCM.710570_TMYx.2009-2023.zip</v>
      </c>
    </row>
    <row r="245" spans="1:10" x14ac:dyDescent="0.25">
      <c r="A245" t="s">
        <v>6</v>
      </c>
      <c r="B245" t="s">
        <v>17</v>
      </c>
      <c r="C245" t="s">
        <v>141</v>
      </c>
      <c r="D245">
        <v>710570</v>
      </c>
      <c r="E245" t="s">
        <v>10</v>
      </c>
      <c r="F245">
        <v>50.667000000000002</v>
      </c>
      <c r="G245">
        <v>-113.333</v>
      </c>
      <c r="H245">
        <v>-7</v>
      </c>
      <c r="I245">
        <v>965</v>
      </c>
      <c r="J245" t="str">
        <f>HYPERLINK("https://climate.onebuilding.org/WMO_Region_4_North_and_Central_America/CAN_Canada/AB_Alberta/CAN_AB_Mossleigh.AgCM.710570_TMYx.zip")</f>
        <v>https://climate.onebuilding.org/WMO_Region_4_North_and_Central_America/CAN_Canada/AB_Alberta/CAN_AB_Mossleigh.AgCM.710570_TMYx.zip</v>
      </c>
    </row>
    <row r="246" spans="1:10" x14ac:dyDescent="0.25">
      <c r="A246" t="s">
        <v>6</v>
      </c>
      <c r="B246" t="s">
        <v>48</v>
      </c>
      <c r="C246" t="s">
        <v>143</v>
      </c>
      <c r="D246">
        <v>710580</v>
      </c>
      <c r="E246" t="s">
        <v>144</v>
      </c>
      <c r="F246">
        <v>69.667000000000002</v>
      </c>
      <c r="G246">
        <v>-121.667</v>
      </c>
      <c r="H246">
        <v>-7</v>
      </c>
      <c r="I246">
        <v>330</v>
      </c>
      <c r="J246" t="str">
        <f>HYPERLINK("https://climate.onebuilding.org/WMO_Region_4_North_and_Central_America/CAN_Canada/NT_Northwest_Territories/CAN_NT_Keats.Point.710580_TMYx.2004-2018.zip")</f>
        <v>https://climate.onebuilding.org/WMO_Region_4_North_and_Central_America/CAN_Canada/NT_Northwest_Territories/CAN_NT_Keats.Point.710580_TMYx.2004-2018.zip</v>
      </c>
    </row>
    <row r="247" spans="1:10" x14ac:dyDescent="0.25">
      <c r="A247" t="s">
        <v>6</v>
      </c>
      <c r="B247" t="s">
        <v>48</v>
      </c>
      <c r="C247" t="s">
        <v>143</v>
      </c>
      <c r="D247">
        <v>710580</v>
      </c>
      <c r="E247" t="s">
        <v>10</v>
      </c>
      <c r="F247">
        <v>69.667000000000002</v>
      </c>
      <c r="G247">
        <v>-121.667</v>
      </c>
      <c r="H247">
        <v>-7</v>
      </c>
      <c r="I247">
        <v>330</v>
      </c>
      <c r="J247" t="str">
        <f>HYPERLINK("https://climate.onebuilding.org/WMO_Region_4_North_and_Central_America/CAN_Canada/NT_Northwest_Territories/CAN_NT_Keats.Point.710580_TMYx.2007-2021.zip")</f>
        <v>https://climate.onebuilding.org/WMO_Region_4_North_and_Central_America/CAN_Canada/NT_Northwest_Territories/CAN_NT_Keats.Point.710580_TMYx.2007-2021.zip</v>
      </c>
    </row>
    <row r="248" spans="1:10" x14ac:dyDescent="0.25">
      <c r="A248" t="s">
        <v>6</v>
      </c>
      <c r="B248" t="s">
        <v>48</v>
      </c>
      <c r="C248" t="s">
        <v>143</v>
      </c>
      <c r="D248">
        <v>710580</v>
      </c>
      <c r="E248" t="s">
        <v>10</v>
      </c>
      <c r="F248">
        <v>69.667000000000002</v>
      </c>
      <c r="G248">
        <v>-121.667</v>
      </c>
      <c r="H248">
        <v>-7</v>
      </c>
      <c r="I248">
        <v>330</v>
      </c>
      <c r="J248" t="str">
        <f>HYPERLINK("https://climate.onebuilding.org/WMO_Region_4_North_and_Central_America/CAN_Canada/NT_Northwest_Territories/CAN_NT_Keats.Point.710580_TMYx.2009-2023.zip")</f>
        <v>https://climate.onebuilding.org/WMO_Region_4_North_and_Central_America/CAN_Canada/NT_Northwest_Territories/CAN_NT_Keats.Point.710580_TMYx.2009-2023.zip</v>
      </c>
    </row>
    <row r="249" spans="1:10" x14ac:dyDescent="0.25">
      <c r="A249" t="s">
        <v>6</v>
      </c>
      <c r="B249" t="s">
        <v>48</v>
      </c>
      <c r="C249" t="s">
        <v>143</v>
      </c>
      <c r="D249">
        <v>710580</v>
      </c>
      <c r="E249" t="s">
        <v>10</v>
      </c>
      <c r="F249">
        <v>69.667000000000002</v>
      </c>
      <c r="G249">
        <v>-121.667</v>
      </c>
      <c r="H249">
        <v>-7</v>
      </c>
      <c r="I249">
        <v>330</v>
      </c>
      <c r="J249" t="str">
        <f>HYPERLINK("https://climate.onebuilding.org/WMO_Region_4_North_and_Central_America/CAN_Canada/NT_Northwest_Territories/CAN_NT_Keats.Point.710580_TMYx.zip")</f>
        <v>https://climate.onebuilding.org/WMO_Region_4_North_and_Central_America/CAN_Canada/NT_Northwest_Territories/CAN_NT_Keats.Point.710580_TMYx.zip</v>
      </c>
    </row>
    <row r="250" spans="1:10" x14ac:dyDescent="0.25">
      <c r="A250" t="s">
        <v>6</v>
      </c>
      <c r="B250" t="s">
        <v>42</v>
      </c>
      <c r="C250" t="s">
        <v>145</v>
      </c>
      <c r="D250">
        <v>710590</v>
      </c>
      <c r="E250" t="s">
        <v>146</v>
      </c>
      <c r="F250">
        <v>69.275599999999997</v>
      </c>
      <c r="G250">
        <v>-119.2189</v>
      </c>
      <c r="H250">
        <v>-7</v>
      </c>
      <c r="I250">
        <v>69.400000000000006</v>
      </c>
      <c r="J250" t="str">
        <f>HYPERLINK("https://climate.onebuilding.org/WMO_Region_4_North_and_Central_America/CAN_Canada/NU_Nunavut/CAN_NU_Croker.River.710590_TMYx.2004-2018.zip")</f>
        <v>https://climate.onebuilding.org/WMO_Region_4_North_and_Central_America/CAN_Canada/NU_Nunavut/CAN_NU_Croker.River.710590_TMYx.2004-2018.zip</v>
      </c>
    </row>
    <row r="251" spans="1:10" x14ac:dyDescent="0.25">
      <c r="A251" t="s">
        <v>6</v>
      </c>
      <c r="B251" t="s">
        <v>42</v>
      </c>
      <c r="C251" t="s">
        <v>145</v>
      </c>
      <c r="D251">
        <v>710590</v>
      </c>
      <c r="E251" t="s">
        <v>10</v>
      </c>
      <c r="F251">
        <v>69.275599999999997</v>
      </c>
      <c r="G251">
        <v>-119.2189</v>
      </c>
      <c r="H251">
        <v>-7</v>
      </c>
      <c r="I251">
        <v>69.400000000000006</v>
      </c>
      <c r="J251" t="str">
        <f>HYPERLINK("https://climate.onebuilding.org/WMO_Region_4_North_and_Central_America/CAN_Canada/NU_Nunavut/CAN_NU_Croker.River.710590_TMYx.2007-2021.zip")</f>
        <v>https://climate.onebuilding.org/WMO_Region_4_North_and_Central_America/CAN_Canada/NU_Nunavut/CAN_NU_Croker.River.710590_TMYx.2007-2021.zip</v>
      </c>
    </row>
    <row r="252" spans="1:10" x14ac:dyDescent="0.25">
      <c r="A252" t="s">
        <v>6</v>
      </c>
      <c r="B252" t="s">
        <v>42</v>
      </c>
      <c r="C252" t="s">
        <v>145</v>
      </c>
      <c r="D252">
        <v>710590</v>
      </c>
      <c r="E252" t="s">
        <v>10</v>
      </c>
      <c r="F252">
        <v>69.275599999999997</v>
      </c>
      <c r="G252">
        <v>-119.2189</v>
      </c>
      <c r="H252">
        <v>-7</v>
      </c>
      <c r="I252">
        <v>69.400000000000006</v>
      </c>
      <c r="J252" t="str">
        <f>HYPERLINK("https://climate.onebuilding.org/WMO_Region_4_North_and_Central_America/CAN_Canada/NU_Nunavut/CAN_NU_Croker.River.710590_TMYx.2009-2023.zip")</f>
        <v>https://climate.onebuilding.org/WMO_Region_4_North_and_Central_America/CAN_Canada/NU_Nunavut/CAN_NU_Croker.River.710590_TMYx.2009-2023.zip</v>
      </c>
    </row>
    <row r="253" spans="1:10" x14ac:dyDescent="0.25">
      <c r="A253" t="s">
        <v>6</v>
      </c>
      <c r="B253" t="s">
        <v>42</v>
      </c>
      <c r="C253" t="s">
        <v>145</v>
      </c>
      <c r="D253">
        <v>710590</v>
      </c>
      <c r="E253" t="s">
        <v>10</v>
      </c>
      <c r="F253">
        <v>69.275599999999997</v>
      </c>
      <c r="G253">
        <v>-119.2189</v>
      </c>
      <c r="H253">
        <v>-7</v>
      </c>
      <c r="I253">
        <v>69.400000000000006</v>
      </c>
      <c r="J253" t="str">
        <f>HYPERLINK("https://climate.onebuilding.org/WMO_Region_4_North_and_Central_America/CAN_Canada/NU_Nunavut/CAN_NU_Croker.River.710590_TMYx.zip")</f>
        <v>https://climate.onebuilding.org/WMO_Region_4_North_and_Central_America/CAN_Canada/NU_Nunavut/CAN_NU_Croker.River.710590_TMYx.zip</v>
      </c>
    </row>
    <row r="254" spans="1:10" x14ac:dyDescent="0.25">
      <c r="A254" t="s">
        <v>6</v>
      </c>
      <c r="B254" t="s">
        <v>17</v>
      </c>
      <c r="C254" t="s">
        <v>147</v>
      </c>
      <c r="D254">
        <v>710600</v>
      </c>
      <c r="E254" t="s">
        <v>148</v>
      </c>
      <c r="F254">
        <v>52.466999999999999</v>
      </c>
      <c r="G254">
        <v>-116.06699999999999</v>
      </c>
      <c r="H254">
        <v>-7</v>
      </c>
      <c r="I254">
        <v>1362</v>
      </c>
      <c r="J254" t="str">
        <f>HYPERLINK("https://climate.onebuilding.org/WMO_Region_4_North_and_Central_America/CAN_Canada/AB_Alberta/CAN_AB_Nordegg.710600_TMYx.2004-2018.zip")</f>
        <v>https://climate.onebuilding.org/WMO_Region_4_North_and_Central_America/CAN_Canada/AB_Alberta/CAN_AB_Nordegg.710600_TMYx.2004-2018.zip</v>
      </c>
    </row>
    <row r="255" spans="1:10" x14ac:dyDescent="0.25">
      <c r="A255" t="s">
        <v>6</v>
      </c>
      <c r="B255" t="s">
        <v>17</v>
      </c>
      <c r="C255" t="s">
        <v>147</v>
      </c>
      <c r="D255">
        <v>710600</v>
      </c>
      <c r="E255" t="s">
        <v>10</v>
      </c>
      <c r="F255">
        <v>52.466999999999999</v>
      </c>
      <c r="G255">
        <v>-116.06699999999999</v>
      </c>
      <c r="H255">
        <v>-7</v>
      </c>
      <c r="I255">
        <v>1362</v>
      </c>
      <c r="J255" t="str">
        <f>HYPERLINK("https://climate.onebuilding.org/WMO_Region_4_North_and_Central_America/CAN_Canada/AB_Alberta/CAN_AB_Nordegg.710600_TMYx.2007-2021.zip")</f>
        <v>https://climate.onebuilding.org/WMO_Region_4_North_and_Central_America/CAN_Canada/AB_Alberta/CAN_AB_Nordegg.710600_TMYx.2007-2021.zip</v>
      </c>
    </row>
    <row r="256" spans="1:10" x14ac:dyDescent="0.25">
      <c r="A256" t="s">
        <v>6</v>
      </c>
      <c r="B256" t="s">
        <v>17</v>
      </c>
      <c r="C256" t="s">
        <v>147</v>
      </c>
      <c r="D256">
        <v>710600</v>
      </c>
      <c r="E256" t="s">
        <v>10</v>
      </c>
      <c r="F256">
        <v>52.466999999999999</v>
      </c>
      <c r="G256">
        <v>-116.06699999999999</v>
      </c>
      <c r="H256">
        <v>-7</v>
      </c>
      <c r="I256">
        <v>1362</v>
      </c>
      <c r="J256" t="str">
        <f>HYPERLINK("https://climate.onebuilding.org/WMO_Region_4_North_and_Central_America/CAN_Canada/AB_Alberta/CAN_AB_Nordegg.710600_TMYx.2009-2023.zip")</f>
        <v>https://climate.onebuilding.org/WMO_Region_4_North_and_Central_America/CAN_Canada/AB_Alberta/CAN_AB_Nordegg.710600_TMYx.2009-2023.zip</v>
      </c>
    </row>
    <row r="257" spans="1:10" x14ac:dyDescent="0.25">
      <c r="A257" t="s">
        <v>6</v>
      </c>
      <c r="B257" t="s">
        <v>17</v>
      </c>
      <c r="C257" t="s">
        <v>147</v>
      </c>
      <c r="D257">
        <v>710600</v>
      </c>
      <c r="E257" t="s">
        <v>10</v>
      </c>
      <c r="F257">
        <v>52.466999999999999</v>
      </c>
      <c r="G257">
        <v>-116.06699999999999</v>
      </c>
      <c r="H257">
        <v>-7</v>
      </c>
      <c r="I257">
        <v>1362</v>
      </c>
      <c r="J257" t="str">
        <f>HYPERLINK("https://climate.onebuilding.org/WMO_Region_4_North_and_Central_America/CAN_Canada/AB_Alberta/CAN_AB_Nordegg.710600_TMYx.zip")</f>
        <v>https://climate.onebuilding.org/WMO_Region_4_North_and_Central_America/CAN_Canada/AB_Alberta/CAN_AB_Nordegg.710600_TMYx.zip</v>
      </c>
    </row>
    <row r="258" spans="1:10" x14ac:dyDescent="0.25">
      <c r="A258" t="s">
        <v>6</v>
      </c>
      <c r="B258" t="s">
        <v>17</v>
      </c>
      <c r="C258" t="s">
        <v>149</v>
      </c>
      <c r="D258">
        <v>710610</v>
      </c>
      <c r="E258" t="s">
        <v>150</v>
      </c>
      <c r="F258">
        <v>54.094700000000003</v>
      </c>
      <c r="G258">
        <v>-114.44750000000001</v>
      </c>
      <c r="H258">
        <v>-7</v>
      </c>
      <c r="I258">
        <v>648</v>
      </c>
      <c r="J258" t="str">
        <f>HYPERLINK("https://climate.onebuilding.org/WMO_Region_4_North_and_Central_America/CAN_Canada/AB_Alberta/CAN_AB_Barrhead.AP.710610_TMYx.2004-2018.zip")</f>
        <v>https://climate.onebuilding.org/WMO_Region_4_North_and_Central_America/CAN_Canada/AB_Alberta/CAN_AB_Barrhead.AP.710610_TMYx.2004-2018.zip</v>
      </c>
    </row>
    <row r="259" spans="1:10" x14ac:dyDescent="0.25">
      <c r="A259" t="s">
        <v>6</v>
      </c>
      <c r="B259" t="s">
        <v>17</v>
      </c>
      <c r="C259" t="s">
        <v>149</v>
      </c>
      <c r="D259">
        <v>710610</v>
      </c>
      <c r="E259" t="s">
        <v>10</v>
      </c>
      <c r="F259">
        <v>54.094700000000003</v>
      </c>
      <c r="G259">
        <v>-114.44750000000001</v>
      </c>
      <c r="H259">
        <v>-7</v>
      </c>
      <c r="I259">
        <v>648</v>
      </c>
      <c r="J259" t="str">
        <f>HYPERLINK("https://climate.onebuilding.org/WMO_Region_4_North_and_Central_America/CAN_Canada/AB_Alberta/CAN_AB_Barrhead.AP.710610_TMYx.2007-2021.zip")</f>
        <v>https://climate.onebuilding.org/WMO_Region_4_North_and_Central_America/CAN_Canada/AB_Alberta/CAN_AB_Barrhead.AP.710610_TMYx.2007-2021.zip</v>
      </c>
    </row>
    <row r="260" spans="1:10" x14ac:dyDescent="0.25">
      <c r="A260" t="s">
        <v>6</v>
      </c>
      <c r="B260" t="s">
        <v>17</v>
      </c>
      <c r="C260" t="s">
        <v>149</v>
      </c>
      <c r="D260">
        <v>710610</v>
      </c>
      <c r="E260" t="s">
        <v>10</v>
      </c>
      <c r="F260">
        <v>54.094700000000003</v>
      </c>
      <c r="G260">
        <v>-114.44750000000001</v>
      </c>
      <c r="H260">
        <v>-7</v>
      </c>
      <c r="I260">
        <v>648</v>
      </c>
      <c r="J260" t="str">
        <f>HYPERLINK("https://climate.onebuilding.org/WMO_Region_4_North_and_Central_America/CAN_Canada/AB_Alberta/CAN_AB_Barrhead.AP.710610_TMYx.2009-2023.zip")</f>
        <v>https://climate.onebuilding.org/WMO_Region_4_North_and_Central_America/CAN_Canada/AB_Alberta/CAN_AB_Barrhead.AP.710610_TMYx.2009-2023.zip</v>
      </c>
    </row>
    <row r="261" spans="1:10" x14ac:dyDescent="0.25">
      <c r="A261" t="s">
        <v>6</v>
      </c>
      <c r="B261" t="s">
        <v>17</v>
      </c>
      <c r="C261" t="s">
        <v>149</v>
      </c>
      <c r="D261">
        <v>710610</v>
      </c>
      <c r="E261" t="s">
        <v>10</v>
      </c>
      <c r="F261">
        <v>54.094700000000003</v>
      </c>
      <c r="G261">
        <v>-114.44750000000001</v>
      </c>
      <c r="H261">
        <v>-7</v>
      </c>
      <c r="I261">
        <v>648</v>
      </c>
      <c r="J261" t="str">
        <f>HYPERLINK("https://climate.onebuilding.org/WMO_Region_4_North_and_Central_America/CAN_Canada/AB_Alberta/CAN_AB_Barrhead.AP.710610_TMYx.zip")</f>
        <v>https://climate.onebuilding.org/WMO_Region_4_North_and_Central_America/CAN_Canada/AB_Alberta/CAN_AB_Barrhead.AP.710610_TMYx.zip</v>
      </c>
    </row>
    <row r="262" spans="1:10" x14ac:dyDescent="0.25">
      <c r="A262" t="s">
        <v>6</v>
      </c>
      <c r="B262" t="s">
        <v>17</v>
      </c>
      <c r="C262" t="s">
        <v>151</v>
      </c>
      <c r="D262">
        <v>710620</v>
      </c>
      <c r="E262" t="s">
        <v>152</v>
      </c>
      <c r="F262">
        <v>53.143599999999999</v>
      </c>
      <c r="G262">
        <v>-115.1264</v>
      </c>
      <c r="H262">
        <v>-7</v>
      </c>
      <c r="I262">
        <v>903</v>
      </c>
      <c r="J262" t="str">
        <f>HYPERLINK("https://climate.onebuilding.org/WMO_Region_4_North_and_Central_America/CAN_Canada/AB_Alberta/CAN_AB_Violet.Grove.710620_TMYx.2004-2018.zip")</f>
        <v>https://climate.onebuilding.org/WMO_Region_4_North_and_Central_America/CAN_Canada/AB_Alberta/CAN_AB_Violet.Grove.710620_TMYx.2004-2018.zip</v>
      </c>
    </row>
    <row r="263" spans="1:10" x14ac:dyDescent="0.25">
      <c r="A263" t="s">
        <v>6</v>
      </c>
      <c r="B263" t="s">
        <v>17</v>
      </c>
      <c r="C263" t="s">
        <v>151</v>
      </c>
      <c r="D263">
        <v>710620</v>
      </c>
      <c r="E263" t="s">
        <v>10</v>
      </c>
      <c r="F263">
        <v>53.143599999999999</v>
      </c>
      <c r="G263">
        <v>-115.1264</v>
      </c>
      <c r="H263">
        <v>-7</v>
      </c>
      <c r="I263">
        <v>903</v>
      </c>
      <c r="J263" t="str">
        <f>HYPERLINK("https://climate.onebuilding.org/WMO_Region_4_North_and_Central_America/CAN_Canada/AB_Alberta/CAN_AB_Violet.Grove.710620_TMYx.2007-2021.zip")</f>
        <v>https://climate.onebuilding.org/WMO_Region_4_North_and_Central_America/CAN_Canada/AB_Alberta/CAN_AB_Violet.Grove.710620_TMYx.2007-2021.zip</v>
      </c>
    </row>
    <row r="264" spans="1:10" x14ac:dyDescent="0.25">
      <c r="A264" t="s">
        <v>6</v>
      </c>
      <c r="B264" t="s">
        <v>17</v>
      </c>
      <c r="C264" t="s">
        <v>151</v>
      </c>
      <c r="D264">
        <v>710620</v>
      </c>
      <c r="E264" t="s">
        <v>10</v>
      </c>
      <c r="F264">
        <v>53.143599999999999</v>
      </c>
      <c r="G264">
        <v>-115.1264</v>
      </c>
      <c r="H264">
        <v>-7</v>
      </c>
      <c r="I264">
        <v>903</v>
      </c>
      <c r="J264" t="str">
        <f>HYPERLINK("https://climate.onebuilding.org/WMO_Region_4_North_and_Central_America/CAN_Canada/AB_Alberta/CAN_AB_Violet.Grove.710620_TMYx.2009-2023.zip")</f>
        <v>https://climate.onebuilding.org/WMO_Region_4_North_and_Central_America/CAN_Canada/AB_Alberta/CAN_AB_Violet.Grove.710620_TMYx.2009-2023.zip</v>
      </c>
    </row>
    <row r="265" spans="1:10" x14ac:dyDescent="0.25">
      <c r="A265" t="s">
        <v>6</v>
      </c>
      <c r="B265" t="s">
        <v>17</v>
      </c>
      <c r="C265" t="s">
        <v>151</v>
      </c>
      <c r="D265">
        <v>710620</v>
      </c>
      <c r="E265" t="s">
        <v>10</v>
      </c>
      <c r="F265">
        <v>53.143599999999999</v>
      </c>
      <c r="G265">
        <v>-115.1264</v>
      </c>
      <c r="H265">
        <v>-7</v>
      </c>
      <c r="I265">
        <v>903</v>
      </c>
      <c r="J265" t="str">
        <f>HYPERLINK("https://climate.onebuilding.org/WMO_Region_4_North_and_Central_America/CAN_Canada/AB_Alberta/CAN_AB_Violet.Grove.710620_TMYx.zip")</f>
        <v>https://climate.onebuilding.org/WMO_Region_4_North_and_Central_America/CAN_Canada/AB_Alberta/CAN_AB_Violet.Grove.710620_TMYx.zip</v>
      </c>
    </row>
    <row r="266" spans="1:10" x14ac:dyDescent="0.25">
      <c r="A266" t="s">
        <v>6</v>
      </c>
      <c r="B266" t="s">
        <v>130</v>
      </c>
      <c r="C266" t="s">
        <v>153</v>
      </c>
      <c r="D266">
        <v>710630</v>
      </c>
      <c r="E266" t="s">
        <v>10</v>
      </c>
      <c r="F266">
        <v>45.383299999999998</v>
      </c>
      <c r="G266">
        <v>-75.716700000000003</v>
      </c>
      <c r="H266">
        <v>-5</v>
      </c>
      <c r="I266">
        <v>79.2</v>
      </c>
      <c r="J266" t="str">
        <f>HYPERLINK("https://climate.onebuilding.org/WMO_Region_4_North_and_Central_America/CAN_Canada/ON_Ontario/CAN_ON_Ottawa.CDA.RCS.710630_TMYx.2007-2021.zip")</f>
        <v>https://climate.onebuilding.org/WMO_Region_4_North_and_Central_America/CAN_Canada/ON_Ontario/CAN_ON_Ottawa.CDA.RCS.710630_TMYx.2007-2021.zip</v>
      </c>
    </row>
    <row r="267" spans="1:10" x14ac:dyDescent="0.25">
      <c r="A267" t="s">
        <v>6</v>
      </c>
      <c r="B267" t="s">
        <v>130</v>
      </c>
      <c r="C267" t="s">
        <v>153</v>
      </c>
      <c r="D267">
        <v>710630</v>
      </c>
      <c r="E267" t="s">
        <v>10</v>
      </c>
      <c r="F267">
        <v>45.383299999999998</v>
      </c>
      <c r="G267">
        <v>-75.716700000000003</v>
      </c>
      <c r="H267">
        <v>-5</v>
      </c>
      <c r="I267">
        <v>79.2</v>
      </c>
      <c r="J267" t="str">
        <f>HYPERLINK("https://climate.onebuilding.org/WMO_Region_4_North_and_Central_America/CAN_Canada/ON_Ontario/CAN_ON_Ottawa.CDA.RCS.710630_TMYx.2009-2023.zip")</f>
        <v>https://climate.onebuilding.org/WMO_Region_4_North_and_Central_America/CAN_Canada/ON_Ontario/CAN_ON_Ottawa.CDA.RCS.710630_TMYx.2009-2023.zip</v>
      </c>
    </row>
    <row r="268" spans="1:10" x14ac:dyDescent="0.25">
      <c r="A268" t="s">
        <v>6</v>
      </c>
      <c r="B268" t="s">
        <v>130</v>
      </c>
      <c r="C268" t="s">
        <v>153</v>
      </c>
      <c r="D268">
        <v>710630</v>
      </c>
      <c r="E268" t="s">
        <v>10</v>
      </c>
      <c r="F268">
        <v>45.383299999999998</v>
      </c>
      <c r="G268">
        <v>-75.716700000000003</v>
      </c>
      <c r="H268">
        <v>-5</v>
      </c>
      <c r="I268">
        <v>79.2</v>
      </c>
      <c r="J268" t="str">
        <f>HYPERLINK("https://climate.onebuilding.org/WMO_Region_4_North_and_Central_America/CAN_Canada/ON_Ontario/CAN_ON_Ottawa.CDA.RCS.710630_TMYx.zip")</f>
        <v>https://climate.onebuilding.org/WMO_Region_4_North_and_Central_America/CAN_Canada/ON_Ontario/CAN_ON_Ottawa.CDA.RCS.710630_TMYx.zip</v>
      </c>
    </row>
    <row r="269" spans="1:10" x14ac:dyDescent="0.25">
      <c r="A269" t="s">
        <v>6</v>
      </c>
      <c r="B269" t="s">
        <v>48</v>
      </c>
      <c r="C269" t="s">
        <v>154</v>
      </c>
      <c r="D269">
        <v>710633</v>
      </c>
      <c r="E269" t="s">
        <v>10</v>
      </c>
      <c r="F269">
        <v>61.180999999999997</v>
      </c>
      <c r="G269">
        <v>-113.69</v>
      </c>
      <c r="H269">
        <v>-8</v>
      </c>
      <c r="I269">
        <v>160.30000000000001</v>
      </c>
      <c r="J269" t="str">
        <f>HYPERLINK("https://climate.onebuilding.org/WMO_Region_4_North_and_Central_America/CAN_Canada/NT_Northwest_Territories/CAN_NT_Fort.Resolution.AP.710633_TMYx.2007-2021.zip")</f>
        <v>https://climate.onebuilding.org/WMO_Region_4_North_and_Central_America/CAN_Canada/NT_Northwest_Territories/CAN_NT_Fort.Resolution.AP.710633_TMYx.2007-2021.zip</v>
      </c>
    </row>
    <row r="270" spans="1:10" x14ac:dyDescent="0.25">
      <c r="A270" t="s">
        <v>6</v>
      </c>
      <c r="B270" t="s">
        <v>48</v>
      </c>
      <c r="C270" t="s">
        <v>154</v>
      </c>
      <c r="D270">
        <v>710633</v>
      </c>
      <c r="E270" t="s">
        <v>10</v>
      </c>
      <c r="F270">
        <v>61.180999999999997</v>
      </c>
      <c r="G270">
        <v>-113.69</v>
      </c>
      <c r="H270">
        <v>-8</v>
      </c>
      <c r="I270">
        <v>160.30000000000001</v>
      </c>
      <c r="J270" t="str">
        <f>HYPERLINK("https://climate.onebuilding.org/WMO_Region_4_North_and_Central_America/CAN_Canada/NT_Northwest_Territories/CAN_NT_Fort.Resolution.AP.710633_TMYx.2009-2023.zip")</f>
        <v>https://climate.onebuilding.org/WMO_Region_4_North_and_Central_America/CAN_Canada/NT_Northwest_Territories/CAN_NT_Fort.Resolution.AP.710633_TMYx.2009-2023.zip</v>
      </c>
    </row>
    <row r="271" spans="1:10" x14ac:dyDescent="0.25">
      <c r="A271" t="s">
        <v>6</v>
      </c>
      <c r="B271" t="s">
        <v>48</v>
      </c>
      <c r="C271" t="s">
        <v>154</v>
      </c>
      <c r="D271">
        <v>710633</v>
      </c>
      <c r="E271" t="s">
        <v>10</v>
      </c>
      <c r="F271">
        <v>61.180999999999997</v>
      </c>
      <c r="G271">
        <v>-113.69</v>
      </c>
      <c r="H271">
        <v>-8</v>
      </c>
      <c r="I271">
        <v>160.30000000000001</v>
      </c>
      <c r="J271" t="str">
        <f>HYPERLINK("https://climate.onebuilding.org/WMO_Region_4_North_and_Central_America/CAN_Canada/NT_Northwest_Territories/CAN_NT_Fort.Resolution.AP.710633_TMYx.zip")</f>
        <v>https://climate.onebuilding.org/WMO_Region_4_North_and_Central_America/CAN_Canada/NT_Northwest_Territories/CAN_NT_Fort.Resolution.AP.710633_TMYx.zip</v>
      </c>
    </row>
    <row r="272" spans="1:10" x14ac:dyDescent="0.25">
      <c r="A272" t="s">
        <v>6</v>
      </c>
      <c r="B272" t="s">
        <v>42</v>
      </c>
      <c r="C272" t="s">
        <v>155</v>
      </c>
      <c r="D272">
        <v>710640</v>
      </c>
      <c r="E272" t="s">
        <v>156</v>
      </c>
      <c r="F272">
        <v>69.035799999999995</v>
      </c>
      <c r="G272">
        <v>-107.8231</v>
      </c>
      <c r="H272">
        <v>-7</v>
      </c>
      <c r="I272">
        <v>165.3</v>
      </c>
      <c r="J272" t="str">
        <f>HYPERLINK("https://climate.onebuilding.org/WMO_Region_4_North_and_Central_America/CAN_Canada/NU_Nunavut/CAN_NU_Cape.Peel.West.710640_TMYx.2004-2018.zip")</f>
        <v>https://climate.onebuilding.org/WMO_Region_4_North_and_Central_America/CAN_Canada/NU_Nunavut/CAN_NU_Cape.Peel.West.710640_TMYx.2004-2018.zip</v>
      </c>
    </row>
    <row r="273" spans="1:10" x14ac:dyDescent="0.25">
      <c r="A273" t="s">
        <v>6</v>
      </c>
      <c r="B273" t="s">
        <v>42</v>
      </c>
      <c r="C273" t="s">
        <v>155</v>
      </c>
      <c r="D273">
        <v>710640</v>
      </c>
      <c r="E273" t="s">
        <v>10</v>
      </c>
      <c r="F273">
        <v>69.035799999999995</v>
      </c>
      <c r="G273">
        <v>-107.8231</v>
      </c>
      <c r="H273">
        <v>-7</v>
      </c>
      <c r="I273">
        <v>165.3</v>
      </c>
      <c r="J273" t="str">
        <f>HYPERLINK("https://climate.onebuilding.org/WMO_Region_4_North_and_Central_America/CAN_Canada/NU_Nunavut/CAN_NU_Cape.Peel.West.710640_TMYx.2007-2021.zip")</f>
        <v>https://climate.onebuilding.org/WMO_Region_4_North_and_Central_America/CAN_Canada/NU_Nunavut/CAN_NU_Cape.Peel.West.710640_TMYx.2007-2021.zip</v>
      </c>
    </row>
    <row r="274" spans="1:10" x14ac:dyDescent="0.25">
      <c r="A274" t="s">
        <v>6</v>
      </c>
      <c r="B274" t="s">
        <v>42</v>
      </c>
      <c r="C274" t="s">
        <v>155</v>
      </c>
      <c r="D274">
        <v>710640</v>
      </c>
      <c r="E274" t="s">
        <v>10</v>
      </c>
      <c r="F274">
        <v>69.035799999999995</v>
      </c>
      <c r="G274">
        <v>-107.8231</v>
      </c>
      <c r="H274">
        <v>-7</v>
      </c>
      <c r="I274">
        <v>165.3</v>
      </c>
      <c r="J274" t="str">
        <f>HYPERLINK("https://climate.onebuilding.org/WMO_Region_4_North_and_Central_America/CAN_Canada/NU_Nunavut/CAN_NU_Cape.Peel.West.710640_TMYx.2009-2023.zip")</f>
        <v>https://climate.onebuilding.org/WMO_Region_4_North_and_Central_America/CAN_Canada/NU_Nunavut/CAN_NU_Cape.Peel.West.710640_TMYx.2009-2023.zip</v>
      </c>
    </row>
    <row r="275" spans="1:10" x14ac:dyDescent="0.25">
      <c r="A275" t="s">
        <v>6</v>
      </c>
      <c r="B275" t="s">
        <v>42</v>
      </c>
      <c r="C275" t="s">
        <v>155</v>
      </c>
      <c r="D275">
        <v>710640</v>
      </c>
      <c r="E275" t="s">
        <v>10</v>
      </c>
      <c r="F275">
        <v>69.035799999999995</v>
      </c>
      <c r="G275">
        <v>-107.8231</v>
      </c>
      <c r="H275">
        <v>-7</v>
      </c>
      <c r="I275">
        <v>165.3</v>
      </c>
      <c r="J275" t="str">
        <f>HYPERLINK("https://climate.onebuilding.org/WMO_Region_4_North_and_Central_America/CAN_Canada/NU_Nunavut/CAN_NU_Cape.Peel.West.710640_TMYx.zip")</f>
        <v>https://climate.onebuilding.org/WMO_Region_4_North_and_Central_America/CAN_Canada/NU_Nunavut/CAN_NU_Cape.Peel.West.710640_TMYx.zip</v>
      </c>
    </row>
    <row r="276" spans="1:10" x14ac:dyDescent="0.25">
      <c r="A276" t="s">
        <v>6</v>
      </c>
      <c r="B276" t="s">
        <v>17</v>
      </c>
      <c r="C276" t="s">
        <v>157</v>
      </c>
      <c r="D276">
        <v>710650</v>
      </c>
      <c r="E276" t="s">
        <v>158</v>
      </c>
      <c r="F276">
        <v>53.72</v>
      </c>
      <c r="G276">
        <v>-111.1144</v>
      </c>
      <c r="H276">
        <v>-7</v>
      </c>
      <c r="I276">
        <v>580</v>
      </c>
      <c r="J276" t="str">
        <f>HYPERLINK("https://climate.onebuilding.org/WMO_Region_4_North_and_Central_America/CAN_Canada/AB_Alberta/CAN_AB_Myrnam.AgCM.710650_TMYx.2004-2018.zip")</f>
        <v>https://climate.onebuilding.org/WMO_Region_4_North_and_Central_America/CAN_Canada/AB_Alberta/CAN_AB_Myrnam.AgCM.710650_TMYx.2004-2018.zip</v>
      </c>
    </row>
    <row r="277" spans="1:10" x14ac:dyDescent="0.25">
      <c r="A277" t="s">
        <v>6</v>
      </c>
      <c r="B277" t="s">
        <v>17</v>
      </c>
      <c r="C277" t="s">
        <v>157</v>
      </c>
      <c r="D277">
        <v>710650</v>
      </c>
      <c r="E277" t="s">
        <v>10</v>
      </c>
      <c r="F277">
        <v>53.72</v>
      </c>
      <c r="G277">
        <v>-111.1144</v>
      </c>
      <c r="H277">
        <v>-7</v>
      </c>
      <c r="I277">
        <v>580</v>
      </c>
      <c r="J277" t="str">
        <f>HYPERLINK("https://climate.onebuilding.org/WMO_Region_4_North_and_Central_America/CAN_Canada/AB_Alberta/CAN_AB_Myrnam.AgCM.710650_TMYx.2007-2021.zip")</f>
        <v>https://climate.onebuilding.org/WMO_Region_4_North_and_Central_America/CAN_Canada/AB_Alberta/CAN_AB_Myrnam.AgCM.710650_TMYx.2007-2021.zip</v>
      </c>
    </row>
    <row r="278" spans="1:10" x14ac:dyDescent="0.25">
      <c r="A278" t="s">
        <v>6</v>
      </c>
      <c r="B278" t="s">
        <v>17</v>
      </c>
      <c r="C278" t="s">
        <v>157</v>
      </c>
      <c r="D278">
        <v>710650</v>
      </c>
      <c r="E278" t="s">
        <v>10</v>
      </c>
      <c r="F278">
        <v>53.72</v>
      </c>
      <c r="G278">
        <v>-111.1144</v>
      </c>
      <c r="H278">
        <v>-7</v>
      </c>
      <c r="I278">
        <v>580</v>
      </c>
      <c r="J278" t="str">
        <f>HYPERLINK("https://climate.onebuilding.org/WMO_Region_4_North_and_Central_America/CAN_Canada/AB_Alberta/CAN_AB_Myrnam.AgCM.710650_TMYx.2009-2023.zip")</f>
        <v>https://climate.onebuilding.org/WMO_Region_4_North_and_Central_America/CAN_Canada/AB_Alberta/CAN_AB_Myrnam.AgCM.710650_TMYx.2009-2023.zip</v>
      </c>
    </row>
    <row r="279" spans="1:10" x14ac:dyDescent="0.25">
      <c r="A279" t="s">
        <v>6</v>
      </c>
      <c r="B279" t="s">
        <v>17</v>
      </c>
      <c r="C279" t="s">
        <v>157</v>
      </c>
      <c r="D279">
        <v>710650</v>
      </c>
      <c r="E279" t="s">
        <v>10</v>
      </c>
      <c r="F279">
        <v>53.72</v>
      </c>
      <c r="G279">
        <v>-111.1144</v>
      </c>
      <c r="H279">
        <v>-7</v>
      </c>
      <c r="I279">
        <v>580</v>
      </c>
      <c r="J279" t="str">
        <f>HYPERLINK("https://climate.onebuilding.org/WMO_Region_4_North_and_Central_America/CAN_Canada/AB_Alberta/CAN_AB_Myrnam.AgCM.710650_TMYx.zip")</f>
        <v>https://climate.onebuilding.org/WMO_Region_4_North_and_Central_America/CAN_Canada/AB_Alberta/CAN_AB_Myrnam.AgCM.710650_TMYx.zip</v>
      </c>
    </row>
    <row r="280" spans="1:10" x14ac:dyDescent="0.25">
      <c r="A280" t="s">
        <v>6</v>
      </c>
      <c r="B280" t="s">
        <v>17</v>
      </c>
      <c r="C280" t="s">
        <v>159</v>
      </c>
      <c r="D280">
        <v>710660</v>
      </c>
      <c r="E280" t="s">
        <v>160</v>
      </c>
      <c r="F280">
        <v>58.621699999999997</v>
      </c>
      <c r="G280">
        <v>-117.1647</v>
      </c>
      <c r="H280">
        <v>-7</v>
      </c>
      <c r="I280">
        <v>338</v>
      </c>
      <c r="J280" t="str">
        <f>HYPERLINK("https://climate.onebuilding.org/WMO_Region_4_North_and_Central_America/CAN_Canada/AB_Alberta/CAN_AB_High.Level.AP.710660_TMYx.2004-2018.zip")</f>
        <v>https://climate.onebuilding.org/WMO_Region_4_North_and_Central_America/CAN_Canada/AB_Alberta/CAN_AB_High.Level.AP.710660_TMYx.2004-2018.zip</v>
      </c>
    </row>
    <row r="281" spans="1:10" x14ac:dyDescent="0.25">
      <c r="A281" t="s">
        <v>6</v>
      </c>
      <c r="B281" t="s">
        <v>17</v>
      </c>
      <c r="C281" t="s">
        <v>159</v>
      </c>
      <c r="D281">
        <v>710660</v>
      </c>
      <c r="E281" t="s">
        <v>10</v>
      </c>
      <c r="F281">
        <v>58.621699999999997</v>
      </c>
      <c r="G281">
        <v>-117.1647</v>
      </c>
      <c r="H281">
        <v>-7</v>
      </c>
      <c r="I281">
        <v>338</v>
      </c>
      <c r="J281" t="str">
        <f>HYPERLINK("https://climate.onebuilding.org/WMO_Region_4_North_and_Central_America/CAN_Canada/AB_Alberta/CAN_AB_High.Level.AP.710660_TMYx.2007-2021.zip")</f>
        <v>https://climate.onebuilding.org/WMO_Region_4_North_and_Central_America/CAN_Canada/AB_Alberta/CAN_AB_High.Level.AP.710660_TMYx.2007-2021.zip</v>
      </c>
    </row>
    <row r="282" spans="1:10" x14ac:dyDescent="0.25">
      <c r="A282" t="s">
        <v>6</v>
      </c>
      <c r="B282" t="s">
        <v>17</v>
      </c>
      <c r="C282" t="s">
        <v>159</v>
      </c>
      <c r="D282">
        <v>710660</v>
      </c>
      <c r="E282" t="s">
        <v>10</v>
      </c>
      <c r="F282">
        <v>58.621699999999997</v>
      </c>
      <c r="G282">
        <v>-117.1647</v>
      </c>
      <c r="H282">
        <v>-7</v>
      </c>
      <c r="I282">
        <v>338</v>
      </c>
      <c r="J282" t="str">
        <f>HYPERLINK("https://climate.onebuilding.org/WMO_Region_4_North_and_Central_America/CAN_Canada/AB_Alberta/CAN_AB_High.Level.AP.710660_TMYx.2009-2023.zip")</f>
        <v>https://climate.onebuilding.org/WMO_Region_4_North_and_Central_America/CAN_Canada/AB_Alberta/CAN_AB_High.Level.AP.710660_TMYx.2009-2023.zip</v>
      </c>
    </row>
    <row r="283" spans="1:10" x14ac:dyDescent="0.25">
      <c r="A283" t="s">
        <v>6</v>
      </c>
      <c r="B283" t="s">
        <v>17</v>
      </c>
      <c r="C283" t="s">
        <v>159</v>
      </c>
      <c r="D283">
        <v>710660</v>
      </c>
      <c r="E283" t="s">
        <v>10</v>
      </c>
      <c r="F283">
        <v>58.621699999999997</v>
      </c>
      <c r="G283">
        <v>-117.1647</v>
      </c>
      <c r="H283">
        <v>-7</v>
      </c>
      <c r="I283">
        <v>338</v>
      </c>
      <c r="J283" t="str">
        <f>HYPERLINK("https://climate.onebuilding.org/WMO_Region_4_North_and_Central_America/CAN_Canada/AB_Alberta/CAN_AB_High.Level.AP.710660_TMYx.zip")</f>
        <v>https://climate.onebuilding.org/WMO_Region_4_North_and_Central_America/CAN_Canada/AB_Alberta/CAN_AB_High.Level.AP.710660_TMYx.zip</v>
      </c>
    </row>
    <row r="284" spans="1:10" x14ac:dyDescent="0.25">
      <c r="A284" t="s">
        <v>6</v>
      </c>
      <c r="B284" t="s">
        <v>17</v>
      </c>
      <c r="C284" t="s">
        <v>161</v>
      </c>
      <c r="D284">
        <v>710670</v>
      </c>
      <c r="E284" t="s">
        <v>162</v>
      </c>
      <c r="F284">
        <v>53.2622</v>
      </c>
      <c r="G284">
        <v>-113.16500000000001</v>
      </c>
      <c r="H284">
        <v>-7</v>
      </c>
      <c r="I284">
        <v>765</v>
      </c>
      <c r="J284" t="str">
        <f>HYPERLINK("https://climate.onebuilding.org/WMO_Region_4_North_and_Central_America/CAN_Canada/AB_Alberta/CAN_AB_New.Serepta.AgCM.710670_TMYx.2004-2018.zip")</f>
        <v>https://climate.onebuilding.org/WMO_Region_4_North_and_Central_America/CAN_Canada/AB_Alberta/CAN_AB_New.Serepta.AgCM.710670_TMYx.2004-2018.zip</v>
      </c>
    </row>
    <row r="285" spans="1:10" x14ac:dyDescent="0.25">
      <c r="A285" t="s">
        <v>6</v>
      </c>
      <c r="B285" t="s">
        <v>17</v>
      </c>
      <c r="C285" t="s">
        <v>161</v>
      </c>
      <c r="D285">
        <v>710670</v>
      </c>
      <c r="E285" t="s">
        <v>10</v>
      </c>
      <c r="F285">
        <v>53.2622</v>
      </c>
      <c r="G285">
        <v>-113.16500000000001</v>
      </c>
      <c r="H285">
        <v>-7</v>
      </c>
      <c r="I285">
        <v>765</v>
      </c>
      <c r="J285" t="str">
        <f>HYPERLINK("https://climate.onebuilding.org/WMO_Region_4_North_and_Central_America/CAN_Canada/AB_Alberta/CAN_AB_New.Serepta.AgCM.710670_TMYx.2007-2021.zip")</f>
        <v>https://climate.onebuilding.org/WMO_Region_4_North_and_Central_America/CAN_Canada/AB_Alberta/CAN_AB_New.Serepta.AgCM.710670_TMYx.2007-2021.zip</v>
      </c>
    </row>
    <row r="286" spans="1:10" x14ac:dyDescent="0.25">
      <c r="A286" t="s">
        <v>6</v>
      </c>
      <c r="B286" t="s">
        <v>17</v>
      </c>
      <c r="C286" t="s">
        <v>161</v>
      </c>
      <c r="D286">
        <v>710670</v>
      </c>
      <c r="E286" t="s">
        <v>10</v>
      </c>
      <c r="F286">
        <v>53.2622</v>
      </c>
      <c r="G286">
        <v>-113.16500000000001</v>
      </c>
      <c r="H286">
        <v>-7</v>
      </c>
      <c r="I286">
        <v>765</v>
      </c>
      <c r="J286" t="str">
        <f>HYPERLINK("https://climate.onebuilding.org/WMO_Region_4_North_and_Central_America/CAN_Canada/AB_Alberta/CAN_AB_New.Serepta.AgCM.710670_TMYx.2009-2023.zip")</f>
        <v>https://climate.onebuilding.org/WMO_Region_4_North_and_Central_America/CAN_Canada/AB_Alberta/CAN_AB_New.Serepta.AgCM.710670_TMYx.2009-2023.zip</v>
      </c>
    </row>
    <row r="287" spans="1:10" x14ac:dyDescent="0.25">
      <c r="A287" t="s">
        <v>6</v>
      </c>
      <c r="B287" t="s">
        <v>17</v>
      </c>
      <c r="C287" t="s">
        <v>161</v>
      </c>
      <c r="D287">
        <v>710670</v>
      </c>
      <c r="E287" t="s">
        <v>10</v>
      </c>
      <c r="F287">
        <v>53.2622</v>
      </c>
      <c r="G287">
        <v>-113.16500000000001</v>
      </c>
      <c r="H287">
        <v>-7</v>
      </c>
      <c r="I287">
        <v>765</v>
      </c>
      <c r="J287" t="str">
        <f>HYPERLINK("https://climate.onebuilding.org/WMO_Region_4_North_and_Central_America/CAN_Canada/AB_Alberta/CAN_AB_New.Serepta.AgCM.710670_TMYx.zip")</f>
        <v>https://climate.onebuilding.org/WMO_Region_4_North_and_Central_America/CAN_Canada/AB_Alberta/CAN_AB_New.Serepta.AgCM.710670_TMYx.zip</v>
      </c>
    </row>
    <row r="288" spans="1:10" x14ac:dyDescent="0.25">
      <c r="A288" t="s">
        <v>6</v>
      </c>
      <c r="B288" t="s">
        <v>17</v>
      </c>
      <c r="C288" t="s">
        <v>163</v>
      </c>
      <c r="D288">
        <v>710680</v>
      </c>
      <c r="E288" t="s">
        <v>164</v>
      </c>
      <c r="F288">
        <v>56.226900000000001</v>
      </c>
      <c r="G288">
        <v>-117.4472</v>
      </c>
      <c r="H288">
        <v>-7</v>
      </c>
      <c r="I288">
        <v>570.9</v>
      </c>
      <c r="J288" t="str">
        <f>HYPERLINK("https://climate.onebuilding.org/WMO_Region_4_North_and_Central_America/CAN_Canada/AB_Alberta/CAN_AB_Peace.River.AP.710680_TMYx.2004-2018.zip")</f>
        <v>https://climate.onebuilding.org/WMO_Region_4_North_and_Central_America/CAN_Canada/AB_Alberta/CAN_AB_Peace.River.AP.710680_TMYx.2004-2018.zip</v>
      </c>
    </row>
    <row r="289" spans="1:10" x14ac:dyDescent="0.25">
      <c r="A289" t="s">
        <v>6</v>
      </c>
      <c r="B289" t="s">
        <v>17</v>
      </c>
      <c r="C289" t="s">
        <v>163</v>
      </c>
      <c r="D289">
        <v>710680</v>
      </c>
      <c r="E289" t="s">
        <v>10</v>
      </c>
      <c r="F289">
        <v>56.226900000000001</v>
      </c>
      <c r="G289">
        <v>-117.4472</v>
      </c>
      <c r="H289">
        <v>-7</v>
      </c>
      <c r="I289">
        <v>570.9</v>
      </c>
      <c r="J289" t="str">
        <f>HYPERLINK("https://climate.onebuilding.org/WMO_Region_4_North_and_Central_America/CAN_Canada/AB_Alberta/CAN_AB_Peace.River.AP.710680_TMYx.2007-2021.zip")</f>
        <v>https://climate.onebuilding.org/WMO_Region_4_North_and_Central_America/CAN_Canada/AB_Alberta/CAN_AB_Peace.River.AP.710680_TMYx.2007-2021.zip</v>
      </c>
    </row>
    <row r="290" spans="1:10" x14ac:dyDescent="0.25">
      <c r="A290" t="s">
        <v>6</v>
      </c>
      <c r="B290" t="s">
        <v>17</v>
      </c>
      <c r="C290" t="s">
        <v>163</v>
      </c>
      <c r="D290">
        <v>710680</v>
      </c>
      <c r="E290" t="s">
        <v>10</v>
      </c>
      <c r="F290">
        <v>56.226900000000001</v>
      </c>
      <c r="G290">
        <v>-117.4472</v>
      </c>
      <c r="H290">
        <v>-7</v>
      </c>
      <c r="I290">
        <v>570.9</v>
      </c>
      <c r="J290" t="str">
        <f>HYPERLINK("https://climate.onebuilding.org/WMO_Region_4_North_and_Central_America/CAN_Canada/AB_Alberta/CAN_AB_Peace.River.AP.710680_TMYx.2009-2023.zip")</f>
        <v>https://climate.onebuilding.org/WMO_Region_4_North_and_Central_America/CAN_Canada/AB_Alberta/CAN_AB_Peace.River.AP.710680_TMYx.2009-2023.zip</v>
      </c>
    </row>
    <row r="291" spans="1:10" x14ac:dyDescent="0.25">
      <c r="A291" t="s">
        <v>6</v>
      </c>
      <c r="B291" t="s">
        <v>17</v>
      </c>
      <c r="C291" t="s">
        <v>163</v>
      </c>
      <c r="D291">
        <v>710680</v>
      </c>
      <c r="E291" t="s">
        <v>10</v>
      </c>
      <c r="F291">
        <v>56.226900000000001</v>
      </c>
      <c r="G291">
        <v>-117.4472</v>
      </c>
      <c r="H291">
        <v>-7</v>
      </c>
      <c r="I291">
        <v>570.9</v>
      </c>
      <c r="J291" t="str">
        <f>HYPERLINK("https://climate.onebuilding.org/WMO_Region_4_North_and_Central_America/CAN_Canada/AB_Alberta/CAN_AB_Peace.River.AP.710680_TMYx.zip")</f>
        <v>https://climate.onebuilding.org/WMO_Region_4_North_and_Central_America/CAN_Canada/AB_Alberta/CAN_AB_Peace.River.AP.710680_TMYx.zip</v>
      </c>
    </row>
    <row r="292" spans="1:10" x14ac:dyDescent="0.25">
      <c r="A292" t="s">
        <v>6</v>
      </c>
      <c r="B292" t="s">
        <v>17</v>
      </c>
      <c r="C292" t="s">
        <v>165</v>
      </c>
      <c r="D292">
        <v>710690</v>
      </c>
      <c r="E292" t="s">
        <v>166</v>
      </c>
      <c r="F292">
        <v>55.293100000000003</v>
      </c>
      <c r="G292">
        <v>-114.77719999999999</v>
      </c>
      <c r="H292">
        <v>-7</v>
      </c>
      <c r="I292">
        <v>582.79999999999995</v>
      </c>
      <c r="J292" t="str">
        <f>HYPERLINK("https://climate.onebuilding.org/WMO_Region_4_North_and_Central_America/CAN_Canada/AB_Alberta/CAN_AB_Slave.Lake.AP.710690_TMYx.2004-2018.zip")</f>
        <v>https://climate.onebuilding.org/WMO_Region_4_North_and_Central_America/CAN_Canada/AB_Alberta/CAN_AB_Slave.Lake.AP.710690_TMYx.2004-2018.zip</v>
      </c>
    </row>
    <row r="293" spans="1:10" x14ac:dyDescent="0.25">
      <c r="A293" t="s">
        <v>6</v>
      </c>
      <c r="B293" t="s">
        <v>17</v>
      </c>
      <c r="C293" t="s">
        <v>165</v>
      </c>
      <c r="D293">
        <v>710690</v>
      </c>
      <c r="E293" t="s">
        <v>10</v>
      </c>
      <c r="F293">
        <v>55.293100000000003</v>
      </c>
      <c r="G293">
        <v>-114.77719999999999</v>
      </c>
      <c r="H293">
        <v>-7</v>
      </c>
      <c r="I293">
        <v>582.79999999999995</v>
      </c>
      <c r="J293" t="str">
        <f>HYPERLINK("https://climate.onebuilding.org/WMO_Region_4_North_and_Central_America/CAN_Canada/AB_Alberta/CAN_AB_Slave.Lake.AP.710690_TMYx.2007-2021.zip")</f>
        <v>https://climate.onebuilding.org/WMO_Region_4_North_and_Central_America/CAN_Canada/AB_Alberta/CAN_AB_Slave.Lake.AP.710690_TMYx.2007-2021.zip</v>
      </c>
    </row>
    <row r="294" spans="1:10" x14ac:dyDescent="0.25">
      <c r="A294" t="s">
        <v>6</v>
      </c>
      <c r="B294" t="s">
        <v>17</v>
      </c>
      <c r="C294" t="s">
        <v>165</v>
      </c>
      <c r="D294">
        <v>710690</v>
      </c>
      <c r="E294" t="s">
        <v>10</v>
      </c>
      <c r="F294">
        <v>55.293100000000003</v>
      </c>
      <c r="G294">
        <v>-114.77719999999999</v>
      </c>
      <c r="H294">
        <v>-7</v>
      </c>
      <c r="I294">
        <v>582.79999999999995</v>
      </c>
      <c r="J294" t="str">
        <f>HYPERLINK("https://climate.onebuilding.org/WMO_Region_4_North_and_Central_America/CAN_Canada/AB_Alberta/CAN_AB_Slave.Lake.AP.710690_TMYx.2009-2023.zip")</f>
        <v>https://climate.onebuilding.org/WMO_Region_4_North_and_Central_America/CAN_Canada/AB_Alberta/CAN_AB_Slave.Lake.AP.710690_TMYx.2009-2023.zip</v>
      </c>
    </row>
    <row r="295" spans="1:10" x14ac:dyDescent="0.25">
      <c r="A295" t="s">
        <v>6</v>
      </c>
      <c r="B295" t="s">
        <v>17</v>
      </c>
      <c r="C295" t="s">
        <v>165</v>
      </c>
      <c r="D295">
        <v>710690</v>
      </c>
      <c r="E295" t="s">
        <v>10</v>
      </c>
      <c r="F295">
        <v>55.293100000000003</v>
      </c>
      <c r="G295">
        <v>-114.77719999999999</v>
      </c>
      <c r="H295">
        <v>-7</v>
      </c>
      <c r="I295">
        <v>582.79999999999995</v>
      </c>
      <c r="J295" t="str">
        <f>HYPERLINK("https://climate.onebuilding.org/WMO_Region_4_North_and_Central_America/CAN_Canada/AB_Alberta/CAN_AB_Slave.Lake.AP.710690_TMYx.zip")</f>
        <v>https://climate.onebuilding.org/WMO_Region_4_North_and_Central_America/CAN_Canada/AB_Alberta/CAN_AB_Slave.Lake.AP.710690_TMYx.zip</v>
      </c>
    </row>
    <row r="296" spans="1:10" x14ac:dyDescent="0.25">
      <c r="A296" t="s">
        <v>6</v>
      </c>
      <c r="B296" t="s">
        <v>17</v>
      </c>
      <c r="C296" t="s">
        <v>167</v>
      </c>
      <c r="D296">
        <v>710700</v>
      </c>
      <c r="E296" t="s">
        <v>168</v>
      </c>
      <c r="F296">
        <v>49.224699999999999</v>
      </c>
      <c r="G296">
        <v>-111.12609999999999</v>
      </c>
      <c r="H296">
        <v>-7</v>
      </c>
      <c r="I296">
        <v>915</v>
      </c>
      <c r="J296" t="str">
        <f>HYPERLINK("https://climate.onebuilding.org/WMO_Region_4_North_and_Central_America/CAN_Canada/AB_Alberta/CAN_AB_Pakowki.Lake.AgCM.710700_TMYx.2004-2018.zip")</f>
        <v>https://climate.onebuilding.org/WMO_Region_4_North_and_Central_America/CAN_Canada/AB_Alberta/CAN_AB_Pakowki.Lake.AgCM.710700_TMYx.2004-2018.zip</v>
      </c>
    </row>
    <row r="297" spans="1:10" x14ac:dyDescent="0.25">
      <c r="A297" t="s">
        <v>6</v>
      </c>
      <c r="B297" t="s">
        <v>17</v>
      </c>
      <c r="C297" t="s">
        <v>167</v>
      </c>
      <c r="D297">
        <v>710700</v>
      </c>
      <c r="E297" t="s">
        <v>10</v>
      </c>
      <c r="F297">
        <v>49.224699999999999</v>
      </c>
      <c r="G297">
        <v>-111.12609999999999</v>
      </c>
      <c r="H297">
        <v>-7</v>
      </c>
      <c r="I297">
        <v>915</v>
      </c>
      <c r="J297" t="str">
        <f>HYPERLINK("https://climate.onebuilding.org/WMO_Region_4_North_and_Central_America/CAN_Canada/AB_Alberta/CAN_AB_Pakowki.Lake.AgCM.710700_TMYx.2007-2021.zip")</f>
        <v>https://climate.onebuilding.org/WMO_Region_4_North_and_Central_America/CAN_Canada/AB_Alberta/CAN_AB_Pakowki.Lake.AgCM.710700_TMYx.2007-2021.zip</v>
      </c>
    </row>
    <row r="298" spans="1:10" x14ac:dyDescent="0.25">
      <c r="A298" t="s">
        <v>6</v>
      </c>
      <c r="B298" t="s">
        <v>17</v>
      </c>
      <c r="C298" t="s">
        <v>167</v>
      </c>
      <c r="D298">
        <v>710700</v>
      </c>
      <c r="E298" t="s">
        <v>10</v>
      </c>
      <c r="F298">
        <v>49.224699999999999</v>
      </c>
      <c r="G298">
        <v>-111.12609999999999</v>
      </c>
      <c r="H298">
        <v>-7</v>
      </c>
      <c r="I298">
        <v>915</v>
      </c>
      <c r="J298" t="str">
        <f>HYPERLINK("https://climate.onebuilding.org/WMO_Region_4_North_and_Central_America/CAN_Canada/AB_Alberta/CAN_AB_Pakowki.Lake.AgCM.710700_TMYx.2009-2023.zip")</f>
        <v>https://climate.onebuilding.org/WMO_Region_4_North_and_Central_America/CAN_Canada/AB_Alberta/CAN_AB_Pakowki.Lake.AgCM.710700_TMYx.2009-2023.zip</v>
      </c>
    </row>
    <row r="299" spans="1:10" x14ac:dyDescent="0.25">
      <c r="A299" t="s">
        <v>6</v>
      </c>
      <c r="B299" t="s">
        <v>17</v>
      </c>
      <c r="C299" t="s">
        <v>167</v>
      </c>
      <c r="D299">
        <v>710700</v>
      </c>
      <c r="E299" t="s">
        <v>10</v>
      </c>
      <c r="F299">
        <v>49.224699999999999</v>
      </c>
      <c r="G299">
        <v>-111.12609999999999</v>
      </c>
      <c r="H299">
        <v>-7</v>
      </c>
      <c r="I299">
        <v>915</v>
      </c>
      <c r="J299" t="str">
        <f>HYPERLINK("https://climate.onebuilding.org/WMO_Region_4_North_and_Central_America/CAN_Canada/AB_Alberta/CAN_AB_Pakowki.Lake.AgCM.710700_TMYx.zip")</f>
        <v>https://climate.onebuilding.org/WMO_Region_4_North_and_Central_America/CAN_Canada/AB_Alberta/CAN_AB_Pakowki.Lake.AgCM.710700_TMYx.zip</v>
      </c>
    </row>
    <row r="300" spans="1:10" x14ac:dyDescent="0.25">
      <c r="A300" t="s">
        <v>6</v>
      </c>
      <c r="B300" t="s">
        <v>42</v>
      </c>
      <c r="C300" t="s">
        <v>169</v>
      </c>
      <c r="D300">
        <v>710710</v>
      </c>
      <c r="E300" t="s">
        <v>10</v>
      </c>
      <c r="F300">
        <v>68.650000000000006</v>
      </c>
      <c r="G300">
        <v>-101.733</v>
      </c>
      <c r="H300">
        <v>-7</v>
      </c>
      <c r="I300">
        <v>18</v>
      </c>
      <c r="J300" t="str">
        <f>HYPERLINK("https://climate.onebuilding.org/WMO_Region_4_North_and_Central_America/CAN_Canada/NU_Nunavut/CAN_NU_Jenny.Lind.Island.AP.710710_TMYx.zip")</f>
        <v>https://climate.onebuilding.org/WMO_Region_4_North_and_Central_America/CAN_Canada/NU_Nunavut/CAN_NU_Jenny.Lind.Island.AP.710710_TMYx.zip</v>
      </c>
    </row>
    <row r="301" spans="1:10" x14ac:dyDescent="0.25">
      <c r="A301" t="s">
        <v>6</v>
      </c>
      <c r="B301" t="s">
        <v>17</v>
      </c>
      <c r="C301" t="s">
        <v>170</v>
      </c>
      <c r="D301">
        <v>710730</v>
      </c>
      <c r="E301" t="s">
        <v>171</v>
      </c>
      <c r="F301">
        <v>50.597799999999999</v>
      </c>
      <c r="G301">
        <v>-112.80329999999999</v>
      </c>
      <c r="H301">
        <v>-7</v>
      </c>
      <c r="I301">
        <v>941</v>
      </c>
      <c r="J301" t="str">
        <f>HYPERLINK("https://climate.onebuilding.org/WMO_Region_4_North_and_Central_America/CAN_Canada/AB_Alberta/CAN_AB_Queenstown.710730_TMYx.2004-2018.zip")</f>
        <v>https://climate.onebuilding.org/WMO_Region_4_North_and_Central_America/CAN_Canada/AB_Alberta/CAN_AB_Queenstown.710730_TMYx.2004-2018.zip</v>
      </c>
    </row>
    <row r="302" spans="1:10" x14ac:dyDescent="0.25">
      <c r="A302" t="s">
        <v>6</v>
      </c>
      <c r="B302" t="s">
        <v>17</v>
      </c>
      <c r="C302" t="s">
        <v>170</v>
      </c>
      <c r="D302">
        <v>710730</v>
      </c>
      <c r="E302" t="s">
        <v>10</v>
      </c>
      <c r="F302">
        <v>50.597799999999999</v>
      </c>
      <c r="G302">
        <v>-112.80329999999999</v>
      </c>
      <c r="H302">
        <v>-7</v>
      </c>
      <c r="I302">
        <v>941</v>
      </c>
      <c r="J302" t="str">
        <f>HYPERLINK("https://climate.onebuilding.org/WMO_Region_4_North_and_Central_America/CAN_Canada/AB_Alberta/CAN_AB_Queenstown.710730_TMYx.2007-2021.zip")</f>
        <v>https://climate.onebuilding.org/WMO_Region_4_North_and_Central_America/CAN_Canada/AB_Alberta/CAN_AB_Queenstown.710730_TMYx.2007-2021.zip</v>
      </c>
    </row>
    <row r="303" spans="1:10" x14ac:dyDescent="0.25">
      <c r="A303" t="s">
        <v>6</v>
      </c>
      <c r="B303" t="s">
        <v>17</v>
      </c>
      <c r="C303" t="s">
        <v>170</v>
      </c>
      <c r="D303">
        <v>710730</v>
      </c>
      <c r="E303" t="s">
        <v>10</v>
      </c>
      <c r="F303">
        <v>50.597799999999999</v>
      </c>
      <c r="G303">
        <v>-112.80329999999999</v>
      </c>
      <c r="H303">
        <v>-7</v>
      </c>
      <c r="I303">
        <v>941</v>
      </c>
      <c r="J303" t="str">
        <f>HYPERLINK("https://climate.onebuilding.org/WMO_Region_4_North_and_Central_America/CAN_Canada/AB_Alberta/CAN_AB_Queenstown.710730_TMYx.2009-2023.zip")</f>
        <v>https://climate.onebuilding.org/WMO_Region_4_North_and_Central_America/CAN_Canada/AB_Alberta/CAN_AB_Queenstown.710730_TMYx.2009-2023.zip</v>
      </c>
    </row>
    <row r="304" spans="1:10" x14ac:dyDescent="0.25">
      <c r="A304" t="s">
        <v>6</v>
      </c>
      <c r="B304" t="s">
        <v>17</v>
      </c>
      <c r="C304" t="s">
        <v>170</v>
      </c>
      <c r="D304">
        <v>710730</v>
      </c>
      <c r="E304" t="s">
        <v>10</v>
      </c>
      <c r="F304">
        <v>50.597799999999999</v>
      </c>
      <c r="G304">
        <v>-112.80329999999999</v>
      </c>
      <c r="H304">
        <v>-7</v>
      </c>
      <c r="I304">
        <v>941</v>
      </c>
      <c r="J304" t="str">
        <f>HYPERLINK("https://climate.onebuilding.org/WMO_Region_4_North_and_Central_America/CAN_Canada/AB_Alberta/CAN_AB_Queenstown.710730_TMYx.zip")</f>
        <v>https://climate.onebuilding.org/WMO_Region_4_North_and_Central_America/CAN_Canada/AB_Alberta/CAN_AB_Queenstown.710730_TMYx.zip</v>
      </c>
    </row>
    <row r="305" spans="1:10" x14ac:dyDescent="0.25">
      <c r="A305" t="s">
        <v>6</v>
      </c>
      <c r="B305" t="s">
        <v>42</v>
      </c>
      <c r="C305" t="s">
        <v>172</v>
      </c>
      <c r="D305">
        <v>710735</v>
      </c>
      <c r="E305" t="s">
        <v>173</v>
      </c>
      <c r="F305">
        <v>62.242199999999997</v>
      </c>
      <c r="G305">
        <v>-92.598299999999995</v>
      </c>
      <c r="H305">
        <v>-6</v>
      </c>
      <c r="I305">
        <v>10</v>
      </c>
      <c r="J305" t="str">
        <f>HYPERLINK("https://climate.onebuilding.org/WMO_Region_4_North_and_Central_America/CAN_Canada/NU_Nunavut/CAN_NU_Whale.Cove.AP.710735_TMYx.2004-2018.zip")</f>
        <v>https://climate.onebuilding.org/WMO_Region_4_North_and_Central_America/CAN_Canada/NU_Nunavut/CAN_NU_Whale.Cove.AP.710735_TMYx.2004-2018.zip</v>
      </c>
    </row>
    <row r="306" spans="1:10" x14ac:dyDescent="0.25">
      <c r="A306" t="s">
        <v>6</v>
      </c>
      <c r="B306" t="s">
        <v>42</v>
      </c>
      <c r="C306" t="s">
        <v>172</v>
      </c>
      <c r="D306">
        <v>710735</v>
      </c>
      <c r="E306" t="s">
        <v>10</v>
      </c>
      <c r="F306">
        <v>62.24221</v>
      </c>
      <c r="G306">
        <v>-92.598330000000004</v>
      </c>
      <c r="H306">
        <v>-6</v>
      </c>
      <c r="I306">
        <v>10</v>
      </c>
      <c r="J306" t="str">
        <f>HYPERLINK("https://climate.onebuilding.org/WMO_Region_4_North_and_Central_America/CAN_Canada/NU_Nunavut/CAN_NU_Whale.Cove.AP.710735_TMYx.2007-2021.zip")</f>
        <v>https://climate.onebuilding.org/WMO_Region_4_North_and_Central_America/CAN_Canada/NU_Nunavut/CAN_NU_Whale.Cove.AP.710735_TMYx.2007-2021.zip</v>
      </c>
    </row>
    <row r="307" spans="1:10" x14ac:dyDescent="0.25">
      <c r="A307" t="s">
        <v>6</v>
      </c>
      <c r="B307" t="s">
        <v>42</v>
      </c>
      <c r="C307" t="s">
        <v>172</v>
      </c>
      <c r="D307">
        <v>710735</v>
      </c>
      <c r="E307" t="s">
        <v>10</v>
      </c>
      <c r="F307">
        <v>62.24221</v>
      </c>
      <c r="G307">
        <v>-92.598330000000004</v>
      </c>
      <c r="H307">
        <v>-6</v>
      </c>
      <c r="I307">
        <v>10</v>
      </c>
      <c r="J307" t="str">
        <f>HYPERLINK("https://climate.onebuilding.org/WMO_Region_4_North_and_Central_America/CAN_Canada/NU_Nunavut/CAN_NU_Whale.Cove.AP.710735_TMYx.2009-2023.zip")</f>
        <v>https://climate.onebuilding.org/WMO_Region_4_North_and_Central_America/CAN_Canada/NU_Nunavut/CAN_NU_Whale.Cove.AP.710735_TMYx.2009-2023.zip</v>
      </c>
    </row>
    <row r="308" spans="1:10" x14ac:dyDescent="0.25">
      <c r="A308" t="s">
        <v>6</v>
      </c>
      <c r="B308" t="s">
        <v>42</v>
      </c>
      <c r="C308" t="s">
        <v>172</v>
      </c>
      <c r="D308">
        <v>710735</v>
      </c>
      <c r="E308" t="s">
        <v>10</v>
      </c>
      <c r="F308">
        <v>62.24221</v>
      </c>
      <c r="G308">
        <v>-92.598330000000004</v>
      </c>
      <c r="H308">
        <v>-6</v>
      </c>
      <c r="I308">
        <v>10</v>
      </c>
      <c r="J308" t="str">
        <f>HYPERLINK("https://climate.onebuilding.org/WMO_Region_4_North_and_Central_America/CAN_Canada/NU_Nunavut/CAN_NU_Whale.Cove.AP.710735_TMYx.zip")</f>
        <v>https://climate.onebuilding.org/WMO_Region_4_North_and_Central_America/CAN_Canada/NU_Nunavut/CAN_NU_Whale.Cove.AP.710735_TMYx.zip</v>
      </c>
    </row>
    <row r="309" spans="1:10" x14ac:dyDescent="0.25">
      <c r="A309" t="s">
        <v>6</v>
      </c>
      <c r="B309" t="s">
        <v>42</v>
      </c>
      <c r="C309" t="s">
        <v>174</v>
      </c>
      <c r="D309">
        <v>710740</v>
      </c>
      <c r="E309" t="s">
        <v>175</v>
      </c>
      <c r="F309">
        <v>78.792199999999994</v>
      </c>
      <c r="G309">
        <v>-103.5545</v>
      </c>
      <c r="H309">
        <v>-7</v>
      </c>
      <c r="I309">
        <v>58</v>
      </c>
      <c r="J309" t="str">
        <f>HYPERLINK("https://climate.onebuilding.org/WMO_Region_4_North_and_Central_America/CAN_Canada/NU_Nunavut/CAN_NU_Isachsen.710740_TMYx.2004-2018.zip")</f>
        <v>https://climate.onebuilding.org/WMO_Region_4_North_and_Central_America/CAN_Canada/NU_Nunavut/CAN_NU_Isachsen.710740_TMYx.2004-2018.zip</v>
      </c>
    </row>
    <row r="310" spans="1:10" x14ac:dyDescent="0.25">
      <c r="A310" t="s">
        <v>6</v>
      </c>
      <c r="B310" t="s">
        <v>42</v>
      </c>
      <c r="C310" t="s">
        <v>174</v>
      </c>
      <c r="D310">
        <v>710740</v>
      </c>
      <c r="E310" t="s">
        <v>10</v>
      </c>
      <c r="F310">
        <v>78.792199999999994</v>
      </c>
      <c r="G310">
        <v>-103.5545</v>
      </c>
      <c r="H310">
        <v>-7</v>
      </c>
      <c r="I310">
        <v>58</v>
      </c>
      <c r="J310" t="str">
        <f>HYPERLINK("https://climate.onebuilding.org/WMO_Region_4_North_and_Central_America/CAN_Canada/NU_Nunavut/CAN_NU_Isachsen.710740_TMYx.2007-2021.zip")</f>
        <v>https://climate.onebuilding.org/WMO_Region_4_North_and_Central_America/CAN_Canada/NU_Nunavut/CAN_NU_Isachsen.710740_TMYx.2007-2021.zip</v>
      </c>
    </row>
    <row r="311" spans="1:10" x14ac:dyDescent="0.25">
      <c r="A311" t="s">
        <v>6</v>
      </c>
      <c r="B311" t="s">
        <v>42</v>
      </c>
      <c r="C311" t="s">
        <v>174</v>
      </c>
      <c r="D311">
        <v>710740</v>
      </c>
      <c r="E311" t="s">
        <v>10</v>
      </c>
      <c r="F311">
        <v>78.792199999999994</v>
      </c>
      <c r="G311">
        <v>-103.5545</v>
      </c>
      <c r="H311">
        <v>-7</v>
      </c>
      <c r="I311">
        <v>58</v>
      </c>
      <c r="J311" t="str">
        <f>HYPERLINK("https://climate.onebuilding.org/WMO_Region_4_North_and_Central_America/CAN_Canada/NU_Nunavut/CAN_NU_Isachsen.710740_TMYx.2009-2023.zip")</f>
        <v>https://climate.onebuilding.org/WMO_Region_4_North_and_Central_America/CAN_Canada/NU_Nunavut/CAN_NU_Isachsen.710740_TMYx.2009-2023.zip</v>
      </c>
    </row>
    <row r="312" spans="1:10" x14ac:dyDescent="0.25">
      <c r="A312" t="s">
        <v>6</v>
      </c>
      <c r="B312" t="s">
        <v>42</v>
      </c>
      <c r="C312" t="s">
        <v>174</v>
      </c>
      <c r="D312">
        <v>710740</v>
      </c>
      <c r="E312" t="s">
        <v>10</v>
      </c>
      <c r="F312">
        <v>78.792199999999994</v>
      </c>
      <c r="G312">
        <v>-103.5545</v>
      </c>
      <c r="H312">
        <v>-7</v>
      </c>
      <c r="I312">
        <v>58</v>
      </c>
      <c r="J312" t="str">
        <f>HYPERLINK("https://climate.onebuilding.org/WMO_Region_4_North_and_Central_America/CAN_Canada/NU_Nunavut/CAN_NU_Isachsen.710740_TMYx.zip")</f>
        <v>https://climate.onebuilding.org/WMO_Region_4_North_and_Central_America/CAN_Canada/NU_Nunavut/CAN_NU_Isachsen.710740_TMYx.zip</v>
      </c>
    </row>
    <row r="313" spans="1:10" x14ac:dyDescent="0.25">
      <c r="A313" t="s">
        <v>6</v>
      </c>
      <c r="B313" t="s">
        <v>58</v>
      </c>
      <c r="C313" t="s">
        <v>176</v>
      </c>
      <c r="D313">
        <v>710750</v>
      </c>
      <c r="E313" t="s">
        <v>177</v>
      </c>
      <c r="F313">
        <v>58.183</v>
      </c>
      <c r="G313">
        <v>-103.7</v>
      </c>
      <c r="H313">
        <v>-6</v>
      </c>
      <c r="I313">
        <v>492</v>
      </c>
      <c r="J313" t="str">
        <f>HYPERLINK("https://climate.onebuilding.org/WMO_Region_4_North_and_Central_America/CAN_Canada/SK_Saskatchewan/CAN_SK_Collins.Bay.710750_TMYx.2004-2018.zip")</f>
        <v>https://climate.onebuilding.org/WMO_Region_4_North_and_Central_America/CAN_Canada/SK_Saskatchewan/CAN_SK_Collins.Bay.710750_TMYx.2004-2018.zip</v>
      </c>
    </row>
    <row r="314" spans="1:10" x14ac:dyDescent="0.25">
      <c r="A314" t="s">
        <v>6</v>
      </c>
      <c r="B314" t="s">
        <v>58</v>
      </c>
      <c r="C314" t="s">
        <v>176</v>
      </c>
      <c r="D314">
        <v>710750</v>
      </c>
      <c r="E314" t="s">
        <v>10</v>
      </c>
      <c r="F314">
        <v>58.183</v>
      </c>
      <c r="G314">
        <v>-103.7</v>
      </c>
      <c r="H314">
        <v>-6</v>
      </c>
      <c r="I314">
        <v>492</v>
      </c>
      <c r="J314" t="str">
        <f>HYPERLINK("https://climate.onebuilding.org/WMO_Region_4_North_and_Central_America/CAN_Canada/SK_Saskatchewan/CAN_SK_Collins.Bay.710750_TMYx.2007-2021.zip")</f>
        <v>https://climate.onebuilding.org/WMO_Region_4_North_and_Central_America/CAN_Canada/SK_Saskatchewan/CAN_SK_Collins.Bay.710750_TMYx.2007-2021.zip</v>
      </c>
    </row>
    <row r="315" spans="1:10" x14ac:dyDescent="0.25">
      <c r="A315" t="s">
        <v>6</v>
      </c>
      <c r="B315" t="s">
        <v>58</v>
      </c>
      <c r="C315" t="s">
        <v>176</v>
      </c>
      <c r="D315">
        <v>710750</v>
      </c>
      <c r="E315" t="s">
        <v>10</v>
      </c>
      <c r="F315">
        <v>58.183</v>
      </c>
      <c r="G315">
        <v>-103.7</v>
      </c>
      <c r="H315">
        <v>-6</v>
      </c>
      <c r="I315">
        <v>492</v>
      </c>
      <c r="J315" t="str">
        <f>HYPERLINK("https://climate.onebuilding.org/WMO_Region_4_North_and_Central_America/CAN_Canada/SK_Saskatchewan/CAN_SK_Collins.Bay.710750_TMYx.2009-2023.zip")</f>
        <v>https://climate.onebuilding.org/WMO_Region_4_North_and_Central_America/CAN_Canada/SK_Saskatchewan/CAN_SK_Collins.Bay.710750_TMYx.2009-2023.zip</v>
      </c>
    </row>
    <row r="316" spans="1:10" x14ac:dyDescent="0.25">
      <c r="A316" t="s">
        <v>6</v>
      </c>
      <c r="B316" t="s">
        <v>58</v>
      </c>
      <c r="C316" t="s">
        <v>176</v>
      </c>
      <c r="D316">
        <v>710750</v>
      </c>
      <c r="E316" t="s">
        <v>10</v>
      </c>
      <c r="F316">
        <v>58.183</v>
      </c>
      <c r="G316">
        <v>-103.7</v>
      </c>
      <c r="H316">
        <v>-6</v>
      </c>
      <c r="I316">
        <v>492</v>
      </c>
      <c r="J316" t="str">
        <f>HYPERLINK("https://climate.onebuilding.org/WMO_Region_4_North_and_Central_America/CAN_Canada/SK_Saskatchewan/CAN_SK_Collins.Bay.710750_TMYx.zip")</f>
        <v>https://climate.onebuilding.org/WMO_Region_4_North_and_Central_America/CAN_Canada/SK_Saskatchewan/CAN_SK_Collins.Bay.710750_TMYx.zip</v>
      </c>
    </row>
    <row r="317" spans="1:10" x14ac:dyDescent="0.25">
      <c r="A317" t="s">
        <v>6</v>
      </c>
      <c r="B317" t="s">
        <v>58</v>
      </c>
      <c r="C317" t="s">
        <v>178</v>
      </c>
      <c r="D317">
        <v>710760</v>
      </c>
      <c r="E317" t="s">
        <v>179</v>
      </c>
      <c r="F317">
        <v>59.566699999999997</v>
      </c>
      <c r="G317">
        <v>-108.4833</v>
      </c>
      <c r="H317">
        <v>-6</v>
      </c>
      <c r="I317">
        <v>320.60000000000002</v>
      </c>
      <c r="J317" t="str">
        <f>HYPERLINK("https://climate.onebuilding.org/WMO_Region_4_North_and_Central_America/CAN_Canada/SK_Saskatchewan/CAN_SK_Uranium.City.AP.710760_TMYx.2004-2018.zip")</f>
        <v>https://climate.onebuilding.org/WMO_Region_4_North_and_Central_America/CAN_Canada/SK_Saskatchewan/CAN_SK_Uranium.City.AP.710760_TMYx.2004-2018.zip</v>
      </c>
    </row>
    <row r="318" spans="1:10" x14ac:dyDescent="0.25">
      <c r="A318" t="s">
        <v>6</v>
      </c>
      <c r="B318" t="s">
        <v>58</v>
      </c>
      <c r="C318" t="s">
        <v>178</v>
      </c>
      <c r="D318">
        <v>710760</v>
      </c>
      <c r="E318" t="s">
        <v>10</v>
      </c>
      <c r="F318">
        <v>59.566699999999997</v>
      </c>
      <c r="G318">
        <v>-108.4833</v>
      </c>
      <c r="H318">
        <v>-6</v>
      </c>
      <c r="I318">
        <v>320.60000000000002</v>
      </c>
      <c r="J318" t="str">
        <f>HYPERLINK("https://climate.onebuilding.org/WMO_Region_4_North_and_Central_America/CAN_Canada/SK_Saskatchewan/CAN_SK_Uranium.City.AP.710760_TMYx.2007-2021.zip")</f>
        <v>https://climate.onebuilding.org/WMO_Region_4_North_and_Central_America/CAN_Canada/SK_Saskatchewan/CAN_SK_Uranium.City.AP.710760_TMYx.2007-2021.zip</v>
      </c>
    </row>
    <row r="319" spans="1:10" x14ac:dyDescent="0.25">
      <c r="A319" t="s">
        <v>6</v>
      </c>
      <c r="B319" t="s">
        <v>58</v>
      </c>
      <c r="C319" t="s">
        <v>178</v>
      </c>
      <c r="D319">
        <v>710760</v>
      </c>
      <c r="E319" t="s">
        <v>10</v>
      </c>
      <c r="F319">
        <v>59.566699999999997</v>
      </c>
      <c r="G319">
        <v>-108.4833</v>
      </c>
      <c r="H319">
        <v>-6</v>
      </c>
      <c r="I319">
        <v>320.60000000000002</v>
      </c>
      <c r="J319" t="str">
        <f>HYPERLINK("https://climate.onebuilding.org/WMO_Region_4_North_and_Central_America/CAN_Canada/SK_Saskatchewan/CAN_SK_Uranium.City.AP.710760_TMYx.2009-2023.zip")</f>
        <v>https://climate.onebuilding.org/WMO_Region_4_North_and_Central_America/CAN_Canada/SK_Saskatchewan/CAN_SK_Uranium.City.AP.710760_TMYx.2009-2023.zip</v>
      </c>
    </row>
    <row r="320" spans="1:10" x14ac:dyDescent="0.25">
      <c r="A320" t="s">
        <v>6</v>
      </c>
      <c r="B320" t="s">
        <v>58</v>
      </c>
      <c r="C320" t="s">
        <v>178</v>
      </c>
      <c r="D320">
        <v>710760</v>
      </c>
      <c r="E320" t="s">
        <v>10</v>
      </c>
      <c r="F320">
        <v>59.566699999999997</v>
      </c>
      <c r="G320">
        <v>-108.4833</v>
      </c>
      <c r="H320">
        <v>-6</v>
      </c>
      <c r="I320">
        <v>320.60000000000002</v>
      </c>
      <c r="J320" t="str">
        <f>HYPERLINK("https://climate.onebuilding.org/WMO_Region_4_North_and_Central_America/CAN_Canada/SK_Saskatchewan/CAN_SK_Uranium.City.AP.710760_TMYx.zip")</f>
        <v>https://climate.onebuilding.org/WMO_Region_4_North_and_Central_America/CAN_Canada/SK_Saskatchewan/CAN_SK_Uranium.City.AP.710760_TMYx.zip</v>
      </c>
    </row>
    <row r="321" spans="1:10" x14ac:dyDescent="0.25">
      <c r="A321" t="s">
        <v>6</v>
      </c>
      <c r="B321" t="s">
        <v>58</v>
      </c>
      <c r="C321" t="s">
        <v>180</v>
      </c>
      <c r="D321">
        <v>710770</v>
      </c>
      <c r="E321" t="s">
        <v>181</v>
      </c>
      <c r="F321">
        <v>55.840600000000002</v>
      </c>
      <c r="G321">
        <v>-108.42059999999999</v>
      </c>
      <c r="H321">
        <v>-6</v>
      </c>
      <c r="I321">
        <v>440.1</v>
      </c>
      <c r="J321" t="str">
        <f>HYPERLINK("https://climate.onebuilding.org/WMO_Region_4_North_and_Central_America/CAN_Canada/SK_Saskatchewan/CAN_SK_Buffalo.Narrows.AP.710770_TMYx.2004-2018.zip")</f>
        <v>https://climate.onebuilding.org/WMO_Region_4_North_and_Central_America/CAN_Canada/SK_Saskatchewan/CAN_SK_Buffalo.Narrows.AP.710770_TMYx.2004-2018.zip</v>
      </c>
    </row>
    <row r="322" spans="1:10" x14ac:dyDescent="0.25">
      <c r="A322" t="s">
        <v>6</v>
      </c>
      <c r="B322" t="s">
        <v>58</v>
      </c>
      <c r="C322" t="s">
        <v>180</v>
      </c>
      <c r="D322">
        <v>710770</v>
      </c>
      <c r="E322" t="s">
        <v>10</v>
      </c>
      <c r="F322">
        <v>55.840600000000002</v>
      </c>
      <c r="G322">
        <v>-108.42059999999999</v>
      </c>
      <c r="H322">
        <v>-6</v>
      </c>
      <c r="I322">
        <v>440.1</v>
      </c>
      <c r="J322" t="str">
        <f>HYPERLINK("https://climate.onebuilding.org/WMO_Region_4_North_and_Central_America/CAN_Canada/SK_Saskatchewan/CAN_SK_Buffalo.Narrows.AP.710770_TMYx.2007-2021.zip")</f>
        <v>https://climate.onebuilding.org/WMO_Region_4_North_and_Central_America/CAN_Canada/SK_Saskatchewan/CAN_SK_Buffalo.Narrows.AP.710770_TMYx.2007-2021.zip</v>
      </c>
    </row>
    <row r="323" spans="1:10" x14ac:dyDescent="0.25">
      <c r="A323" t="s">
        <v>6</v>
      </c>
      <c r="B323" t="s">
        <v>58</v>
      </c>
      <c r="C323" t="s">
        <v>180</v>
      </c>
      <c r="D323">
        <v>710770</v>
      </c>
      <c r="E323" t="s">
        <v>10</v>
      </c>
      <c r="F323">
        <v>55.840600000000002</v>
      </c>
      <c r="G323">
        <v>-108.42059999999999</v>
      </c>
      <c r="H323">
        <v>-6</v>
      </c>
      <c r="I323">
        <v>440.1</v>
      </c>
      <c r="J323" t="str">
        <f>HYPERLINK("https://climate.onebuilding.org/WMO_Region_4_North_and_Central_America/CAN_Canada/SK_Saskatchewan/CAN_SK_Buffalo.Narrows.AP.710770_TMYx.2009-2023.zip")</f>
        <v>https://climate.onebuilding.org/WMO_Region_4_North_and_Central_America/CAN_Canada/SK_Saskatchewan/CAN_SK_Buffalo.Narrows.AP.710770_TMYx.2009-2023.zip</v>
      </c>
    </row>
    <row r="324" spans="1:10" x14ac:dyDescent="0.25">
      <c r="A324" t="s">
        <v>6</v>
      </c>
      <c r="B324" t="s">
        <v>58</v>
      </c>
      <c r="C324" t="s">
        <v>180</v>
      </c>
      <c r="D324">
        <v>710770</v>
      </c>
      <c r="E324" t="s">
        <v>10</v>
      </c>
      <c r="F324">
        <v>55.840600000000002</v>
      </c>
      <c r="G324">
        <v>-108.42059999999999</v>
      </c>
      <c r="H324">
        <v>-6</v>
      </c>
      <c r="I324">
        <v>440.1</v>
      </c>
      <c r="J324" t="str">
        <f>HYPERLINK("https://climate.onebuilding.org/WMO_Region_4_North_and_Central_America/CAN_Canada/SK_Saskatchewan/CAN_SK_Buffalo.Narrows.AP.710770_TMYx.zip")</f>
        <v>https://climate.onebuilding.org/WMO_Region_4_North_and_Central_America/CAN_Canada/SK_Saskatchewan/CAN_SK_Buffalo.Narrows.AP.710770_TMYx.zip</v>
      </c>
    </row>
    <row r="325" spans="1:10" x14ac:dyDescent="0.25">
      <c r="A325" t="s">
        <v>6</v>
      </c>
      <c r="B325" t="s">
        <v>94</v>
      </c>
      <c r="C325" t="s">
        <v>182</v>
      </c>
      <c r="D325">
        <v>710780</v>
      </c>
      <c r="E325" t="s">
        <v>183</v>
      </c>
      <c r="F325">
        <v>56.863999999999997</v>
      </c>
      <c r="G325">
        <v>-101.07599999999999</v>
      </c>
      <c r="H325">
        <v>-6</v>
      </c>
      <c r="I325">
        <v>356.6</v>
      </c>
      <c r="J325" t="str">
        <f>HYPERLINK("https://climate.onebuilding.org/WMO_Region_4_North_and_Central_America/CAN_Canada/MB_Manitoba/CAN_MB_Lynn.Lake.AP.710780_TMYx.2004-2018.zip")</f>
        <v>https://climate.onebuilding.org/WMO_Region_4_North_and_Central_America/CAN_Canada/MB_Manitoba/CAN_MB_Lynn.Lake.AP.710780_TMYx.2004-2018.zip</v>
      </c>
    </row>
    <row r="326" spans="1:10" x14ac:dyDescent="0.25">
      <c r="A326" t="s">
        <v>6</v>
      </c>
      <c r="B326" t="s">
        <v>94</v>
      </c>
      <c r="C326" t="s">
        <v>182</v>
      </c>
      <c r="D326">
        <v>710780</v>
      </c>
      <c r="E326" t="s">
        <v>10</v>
      </c>
      <c r="F326">
        <v>56.863999999999997</v>
      </c>
      <c r="G326">
        <v>-101.07599999999999</v>
      </c>
      <c r="H326">
        <v>-6</v>
      </c>
      <c r="I326">
        <v>356.6</v>
      </c>
      <c r="J326" t="str">
        <f>HYPERLINK("https://climate.onebuilding.org/WMO_Region_4_North_and_Central_America/CAN_Canada/MB_Manitoba/CAN_MB_Lynn.Lake.AP.710780_TMYx.2007-2021.zip")</f>
        <v>https://climate.onebuilding.org/WMO_Region_4_North_and_Central_America/CAN_Canada/MB_Manitoba/CAN_MB_Lynn.Lake.AP.710780_TMYx.2007-2021.zip</v>
      </c>
    </row>
    <row r="327" spans="1:10" x14ac:dyDescent="0.25">
      <c r="A327" t="s">
        <v>6</v>
      </c>
      <c r="B327" t="s">
        <v>94</v>
      </c>
      <c r="C327" t="s">
        <v>182</v>
      </c>
      <c r="D327">
        <v>710780</v>
      </c>
      <c r="E327" t="s">
        <v>10</v>
      </c>
      <c r="F327">
        <v>56.863999999999997</v>
      </c>
      <c r="G327">
        <v>-101.07599999999999</v>
      </c>
      <c r="H327">
        <v>-6</v>
      </c>
      <c r="I327">
        <v>356.6</v>
      </c>
      <c r="J327" t="str">
        <f>HYPERLINK("https://climate.onebuilding.org/WMO_Region_4_North_and_Central_America/CAN_Canada/MB_Manitoba/CAN_MB_Lynn.Lake.AP.710780_TMYx.2009-2023.zip")</f>
        <v>https://climate.onebuilding.org/WMO_Region_4_North_and_Central_America/CAN_Canada/MB_Manitoba/CAN_MB_Lynn.Lake.AP.710780_TMYx.2009-2023.zip</v>
      </c>
    </row>
    <row r="328" spans="1:10" x14ac:dyDescent="0.25">
      <c r="A328" t="s">
        <v>6</v>
      </c>
      <c r="B328" t="s">
        <v>94</v>
      </c>
      <c r="C328" t="s">
        <v>182</v>
      </c>
      <c r="D328">
        <v>710780</v>
      </c>
      <c r="E328" t="s">
        <v>10</v>
      </c>
      <c r="F328">
        <v>56.863999999999997</v>
      </c>
      <c r="G328">
        <v>-101.07599999999999</v>
      </c>
      <c r="H328">
        <v>-6</v>
      </c>
      <c r="I328">
        <v>356.6</v>
      </c>
      <c r="J328" t="str">
        <f>HYPERLINK("https://climate.onebuilding.org/WMO_Region_4_North_and_Central_America/CAN_Canada/MB_Manitoba/CAN_MB_Lynn.Lake.AP.710780_TMYx.zip")</f>
        <v>https://climate.onebuilding.org/WMO_Region_4_North_and_Central_America/CAN_Canada/MB_Manitoba/CAN_MB_Lynn.Lake.AP.710780_TMYx.zip</v>
      </c>
    </row>
    <row r="329" spans="1:10" x14ac:dyDescent="0.25">
      <c r="A329" t="s">
        <v>6</v>
      </c>
      <c r="B329" t="s">
        <v>94</v>
      </c>
      <c r="C329" t="s">
        <v>184</v>
      </c>
      <c r="D329">
        <v>710790</v>
      </c>
      <c r="E329" t="s">
        <v>185</v>
      </c>
      <c r="F329">
        <v>55.801000000000002</v>
      </c>
      <c r="G329">
        <v>-97.864000000000004</v>
      </c>
      <c r="H329">
        <v>-6</v>
      </c>
      <c r="I329">
        <v>222.2</v>
      </c>
      <c r="J329" t="str">
        <f>HYPERLINK("https://climate.onebuilding.org/WMO_Region_4_North_and_Central_America/CAN_Canada/MB_Manitoba/CAN_MB_Thompson.AP.710790_TMYx.2004-2018.zip")</f>
        <v>https://climate.onebuilding.org/WMO_Region_4_North_and_Central_America/CAN_Canada/MB_Manitoba/CAN_MB_Thompson.AP.710790_TMYx.2004-2018.zip</v>
      </c>
    </row>
    <row r="330" spans="1:10" x14ac:dyDescent="0.25">
      <c r="A330" t="s">
        <v>6</v>
      </c>
      <c r="B330" t="s">
        <v>94</v>
      </c>
      <c r="C330" t="s">
        <v>184</v>
      </c>
      <c r="D330">
        <v>710790</v>
      </c>
      <c r="E330" t="s">
        <v>10</v>
      </c>
      <c r="F330">
        <v>55.801000000000002</v>
      </c>
      <c r="G330">
        <v>-97.864000000000004</v>
      </c>
      <c r="H330">
        <v>-6</v>
      </c>
      <c r="I330">
        <v>222.2</v>
      </c>
      <c r="J330" t="str">
        <f>HYPERLINK("https://climate.onebuilding.org/WMO_Region_4_North_and_Central_America/CAN_Canada/MB_Manitoba/CAN_MB_Thompson.AP.710790_TMYx.2007-2021.zip")</f>
        <v>https://climate.onebuilding.org/WMO_Region_4_North_and_Central_America/CAN_Canada/MB_Manitoba/CAN_MB_Thompson.AP.710790_TMYx.2007-2021.zip</v>
      </c>
    </row>
    <row r="331" spans="1:10" x14ac:dyDescent="0.25">
      <c r="A331" t="s">
        <v>6</v>
      </c>
      <c r="B331" t="s">
        <v>94</v>
      </c>
      <c r="C331" t="s">
        <v>184</v>
      </c>
      <c r="D331">
        <v>710790</v>
      </c>
      <c r="E331" t="s">
        <v>10</v>
      </c>
      <c r="F331">
        <v>55.801000000000002</v>
      </c>
      <c r="G331">
        <v>-97.864000000000004</v>
      </c>
      <c r="H331">
        <v>-6</v>
      </c>
      <c r="I331">
        <v>222.2</v>
      </c>
      <c r="J331" t="str">
        <f>HYPERLINK("https://climate.onebuilding.org/WMO_Region_4_North_and_Central_America/CAN_Canada/MB_Manitoba/CAN_MB_Thompson.AP.710790_TMYx.2009-2023.zip")</f>
        <v>https://climate.onebuilding.org/WMO_Region_4_North_and_Central_America/CAN_Canada/MB_Manitoba/CAN_MB_Thompson.AP.710790_TMYx.2009-2023.zip</v>
      </c>
    </row>
    <row r="332" spans="1:10" x14ac:dyDescent="0.25">
      <c r="A332" t="s">
        <v>6</v>
      </c>
      <c r="B332" t="s">
        <v>94</v>
      </c>
      <c r="C332" t="s">
        <v>184</v>
      </c>
      <c r="D332">
        <v>710790</v>
      </c>
      <c r="E332" t="s">
        <v>10</v>
      </c>
      <c r="F332">
        <v>55.801000000000002</v>
      </c>
      <c r="G332">
        <v>-97.864000000000004</v>
      </c>
      <c r="H332">
        <v>-6</v>
      </c>
      <c r="I332">
        <v>222.2</v>
      </c>
      <c r="J332" t="str">
        <f>HYPERLINK("https://climate.onebuilding.org/WMO_Region_4_North_and_Central_America/CAN_Canada/MB_Manitoba/CAN_MB_Thompson.AP.710790_TMYx.zip")</f>
        <v>https://climate.onebuilding.org/WMO_Region_4_North_and_Central_America/CAN_Canada/MB_Manitoba/CAN_MB_Thompson.AP.710790_TMYx.zip</v>
      </c>
    </row>
    <row r="333" spans="1:10" x14ac:dyDescent="0.25">
      <c r="A333" t="s">
        <v>6</v>
      </c>
      <c r="B333" t="s">
        <v>42</v>
      </c>
      <c r="C333" t="s">
        <v>186</v>
      </c>
      <c r="D333">
        <v>710800</v>
      </c>
      <c r="E333" t="s">
        <v>10</v>
      </c>
      <c r="F333">
        <v>68.3</v>
      </c>
      <c r="G333">
        <v>-85.667000000000002</v>
      </c>
      <c r="H333">
        <v>-6</v>
      </c>
      <c r="I333">
        <v>395</v>
      </c>
      <c r="J333" t="str">
        <f>HYPERLINK("https://climate.onebuilding.org/WMO_Region_4_North_and_Central_America/CAN_Canada/NU_Nunavut/CAN_NU_Mackar.Inlet.710800_TMYx.zip")</f>
        <v>https://climate.onebuilding.org/WMO_Region_4_North_and_Central_America/CAN_Canada/NU_Nunavut/CAN_NU_Mackar.Inlet.710800_TMYx.zip</v>
      </c>
    </row>
    <row r="334" spans="1:10" x14ac:dyDescent="0.25">
      <c r="A334" t="s">
        <v>6</v>
      </c>
      <c r="B334" t="s">
        <v>42</v>
      </c>
      <c r="C334" t="s">
        <v>187</v>
      </c>
      <c r="D334">
        <v>710814</v>
      </c>
      <c r="E334" t="s">
        <v>10</v>
      </c>
      <c r="F334">
        <v>69.367000000000004</v>
      </c>
      <c r="G334">
        <v>-81.816999999999993</v>
      </c>
      <c r="H334">
        <v>-5</v>
      </c>
      <c r="I334">
        <v>51</v>
      </c>
      <c r="J334" t="str">
        <f>HYPERLINK("https://climate.onebuilding.org/WMO_Region_4_North_and_Central_America/CAN_Canada/NU_Nunavut/CAN_NU_Igloolik.AP.710814_TMYx.2007-2021.zip")</f>
        <v>https://climate.onebuilding.org/WMO_Region_4_North_and_Central_America/CAN_Canada/NU_Nunavut/CAN_NU_Igloolik.AP.710814_TMYx.2007-2021.zip</v>
      </c>
    </row>
    <row r="335" spans="1:10" x14ac:dyDescent="0.25">
      <c r="A335" t="s">
        <v>6</v>
      </c>
      <c r="B335" t="s">
        <v>42</v>
      </c>
      <c r="C335" t="s">
        <v>187</v>
      </c>
      <c r="D335">
        <v>710814</v>
      </c>
      <c r="E335" t="s">
        <v>10</v>
      </c>
      <c r="F335">
        <v>69.367000000000004</v>
      </c>
      <c r="G335">
        <v>-81.816999999999993</v>
      </c>
      <c r="H335">
        <v>-5</v>
      </c>
      <c r="I335">
        <v>51</v>
      </c>
      <c r="J335" t="str">
        <f>HYPERLINK("https://climate.onebuilding.org/WMO_Region_4_North_and_Central_America/CAN_Canada/NU_Nunavut/CAN_NU_Igloolik.AP.710814_TMYx.2009-2023.zip")</f>
        <v>https://climate.onebuilding.org/WMO_Region_4_North_and_Central_America/CAN_Canada/NU_Nunavut/CAN_NU_Igloolik.AP.710814_TMYx.2009-2023.zip</v>
      </c>
    </row>
    <row r="336" spans="1:10" x14ac:dyDescent="0.25">
      <c r="A336" t="s">
        <v>6</v>
      </c>
      <c r="B336" t="s">
        <v>42</v>
      </c>
      <c r="C336" t="s">
        <v>187</v>
      </c>
      <c r="D336">
        <v>710814</v>
      </c>
      <c r="E336" t="s">
        <v>10</v>
      </c>
      <c r="F336">
        <v>69.367000000000004</v>
      </c>
      <c r="G336">
        <v>-81.816999999999993</v>
      </c>
      <c r="H336">
        <v>-5</v>
      </c>
      <c r="I336">
        <v>51</v>
      </c>
      <c r="J336" t="str">
        <f>HYPERLINK("https://climate.onebuilding.org/WMO_Region_4_North_and_Central_America/CAN_Canada/NU_Nunavut/CAN_NU_Igloolik.AP.710814_TMYx.zip")</f>
        <v>https://climate.onebuilding.org/WMO_Region_4_North_and_Central_America/CAN_Canada/NU_Nunavut/CAN_NU_Igloolik.AP.710814_TMYx.zip</v>
      </c>
    </row>
    <row r="337" spans="1:10" x14ac:dyDescent="0.25">
      <c r="A337" t="s">
        <v>6</v>
      </c>
      <c r="B337" t="s">
        <v>42</v>
      </c>
      <c r="C337" t="s">
        <v>188</v>
      </c>
      <c r="D337">
        <v>710823</v>
      </c>
      <c r="E337" t="s">
        <v>10</v>
      </c>
      <c r="F337">
        <v>82.518000000000001</v>
      </c>
      <c r="G337">
        <v>-62.280999999999999</v>
      </c>
      <c r="H337">
        <v>-4</v>
      </c>
      <c r="I337">
        <v>30.5</v>
      </c>
      <c r="J337" t="str">
        <f>HYPERLINK("https://climate.onebuilding.org/WMO_Region_4_North_and_Central_America/CAN_Canada/NU_Nunavut/CAN_NU_Alert.AP.710823_TMYx.2007-2021.zip")</f>
        <v>https://climate.onebuilding.org/WMO_Region_4_North_and_Central_America/CAN_Canada/NU_Nunavut/CAN_NU_Alert.AP.710823_TMYx.2007-2021.zip</v>
      </c>
    </row>
    <row r="338" spans="1:10" x14ac:dyDescent="0.25">
      <c r="A338" t="s">
        <v>6</v>
      </c>
      <c r="B338" t="s">
        <v>42</v>
      </c>
      <c r="C338" t="s">
        <v>188</v>
      </c>
      <c r="D338">
        <v>710823</v>
      </c>
      <c r="E338" t="s">
        <v>10</v>
      </c>
      <c r="F338">
        <v>82.518000000000001</v>
      </c>
      <c r="G338">
        <v>-62.280999999999999</v>
      </c>
      <c r="H338">
        <v>-4</v>
      </c>
      <c r="I338">
        <v>30.5</v>
      </c>
      <c r="J338" t="str">
        <f>HYPERLINK("https://climate.onebuilding.org/WMO_Region_4_North_and_Central_America/CAN_Canada/NU_Nunavut/CAN_NU_Alert.AP.710823_TMYx.2009-2023.zip")</f>
        <v>https://climate.onebuilding.org/WMO_Region_4_North_and_Central_America/CAN_Canada/NU_Nunavut/CAN_NU_Alert.AP.710823_TMYx.2009-2023.zip</v>
      </c>
    </row>
    <row r="339" spans="1:10" x14ac:dyDescent="0.25">
      <c r="A339" t="s">
        <v>6</v>
      </c>
      <c r="B339" t="s">
        <v>42</v>
      </c>
      <c r="C339" t="s">
        <v>188</v>
      </c>
      <c r="D339">
        <v>710823</v>
      </c>
      <c r="E339" t="s">
        <v>10</v>
      </c>
      <c r="F339">
        <v>82.518000000000001</v>
      </c>
      <c r="G339">
        <v>-62.280999999999999</v>
      </c>
      <c r="H339">
        <v>-4</v>
      </c>
      <c r="I339">
        <v>30.5</v>
      </c>
      <c r="J339" t="str">
        <f>HYPERLINK("https://climate.onebuilding.org/WMO_Region_4_North_and_Central_America/CAN_Canada/NU_Nunavut/CAN_NU_Alert.AP.710823_TMYx.zip")</f>
        <v>https://climate.onebuilding.org/WMO_Region_4_North_and_Central_America/CAN_Canada/NU_Nunavut/CAN_NU_Alert.AP.710823_TMYx.zip</v>
      </c>
    </row>
    <row r="340" spans="1:10" x14ac:dyDescent="0.25">
      <c r="A340" t="s">
        <v>6</v>
      </c>
      <c r="B340" t="s">
        <v>42</v>
      </c>
      <c r="C340" t="s">
        <v>189</v>
      </c>
      <c r="D340">
        <v>710830</v>
      </c>
      <c r="E340" t="s">
        <v>190</v>
      </c>
      <c r="F340">
        <v>62.816699999999997</v>
      </c>
      <c r="G340">
        <v>-92.116699999999994</v>
      </c>
      <c r="H340">
        <v>-6</v>
      </c>
      <c r="I340">
        <v>32.299999999999997</v>
      </c>
      <c r="J340" t="str">
        <f>HYPERLINK("https://climate.onebuilding.org/WMO_Region_4_North_and_Central_America/CAN_Canada/NU_Nunavut/CAN_NU_Rankin.Inlet.AP.710830_TMYx.2004-2018.zip")</f>
        <v>https://climate.onebuilding.org/WMO_Region_4_North_and_Central_America/CAN_Canada/NU_Nunavut/CAN_NU_Rankin.Inlet.AP.710830_TMYx.2004-2018.zip</v>
      </c>
    </row>
    <row r="341" spans="1:10" x14ac:dyDescent="0.25">
      <c r="A341" t="s">
        <v>6</v>
      </c>
      <c r="B341" t="s">
        <v>42</v>
      </c>
      <c r="C341" t="s">
        <v>189</v>
      </c>
      <c r="D341">
        <v>710830</v>
      </c>
      <c r="E341" t="s">
        <v>10</v>
      </c>
      <c r="F341">
        <v>62.816699999999997</v>
      </c>
      <c r="G341">
        <v>-92.116699999999994</v>
      </c>
      <c r="H341">
        <v>-6</v>
      </c>
      <c r="I341">
        <v>32.299999999999997</v>
      </c>
      <c r="J341" t="str">
        <f>HYPERLINK("https://climate.onebuilding.org/WMO_Region_4_North_and_Central_America/CAN_Canada/NU_Nunavut/CAN_NU_Rankin.Inlet.AP.710830_TMYx.2007-2021.zip")</f>
        <v>https://climate.onebuilding.org/WMO_Region_4_North_and_Central_America/CAN_Canada/NU_Nunavut/CAN_NU_Rankin.Inlet.AP.710830_TMYx.2007-2021.zip</v>
      </c>
    </row>
    <row r="342" spans="1:10" x14ac:dyDescent="0.25">
      <c r="A342" t="s">
        <v>6</v>
      </c>
      <c r="B342" t="s">
        <v>42</v>
      </c>
      <c r="C342" t="s">
        <v>189</v>
      </c>
      <c r="D342">
        <v>710830</v>
      </c>
      <c r="E342" t="s">
        <v>10</v>
      </c>
      <c r="F342">
        <v>62.816699999999997</v>
      </c>
      <c r="G342">
        <v>-92.116699999999994</v>
      </c>
      <c r="H342">
        <v>-6</v>
      </c>
      <c r="I342">
        <v>32.299999999999997</v>
      </c>
      <c r="J342" t="str">
        <f>HYPERLINK("https://climate.onebuilding.org/WMO_Region_4_North_and_Central_America/CAN_Canada/NU_Nunavut/CAN_NU_Rankin.Inlet.AP.710830_TMYx.2009-2023.zip")</f>
        <v>https://climate.onebuilding.org/WMO_Region_4_North_and_Central_America/CAN_Canada/NU_Nunavut/CAN_NU_Rankin.Inlet.AP.710830_TMYx.2009-2023.zip</v>
      </c>
    </row>
    <row r="343" spans="1:10" x14ac:dyDescent="0.25">
      <c r="A343" t="s">
        <v>6</v>
      </c>
      <c r="B343" t="s">
        <v>42</v>
      </c>
      <c r="C343" t="s">
        <v>189</v>
      </c>
      <c r="D343">
        <v>710830</v>
      </c>
      <c r="E343" t="s">
        <v>10</v>
      </c>
      <c r="F343">
        <v>62.816699999999997</v>
      </c>
      <c r="G343">
        <v>-92.116699999999994</v>
      </c>
      <c r="H343">
        <v>-6</v>
      </c>
      <c r="I343">
        <v>32.299999999999997</v>
      </c>
      <c r="J343" t="str">
        <f>HYPERLINK("https://climate.onebuilding.org/WMO_Region_4_North_and_Central_America/CAN_Canada/NU_Nunavut/CAN_NU_Rankin.Inlet.AP.710830_TMYx.zip")</f>
        <v>https://climate.onebuilding.org/WMO_Region_4_North_and_Central_America/CAN_Canada/NU_Nunavut/CAN_NU_Rankin.Inlet.AP.710830_TMYx.zip</v>
      </c>
    </row>
    <row r="344" spans="1:10" x14ac:dyDescent="0.25">
      <c r="A344" t="s">
        <v>6</v>
      </c>
      <c r="B344" t="s">
        <v>42</v>
      </c>
      <c r="C344" t="s">
        <v>191</v>
      </c>
      <c r="D344">
        <v>710840</v>
      </c>
      <c r="E344" t="s">
        <v>192</v>
      </c>
      <c r="F344">
        <v>68.318100000000001</v>
      </c>
      <c r="G344">
        <v>-100.0869</v>
      </c>
      <c r="H344">
        <v>-7</v>
      </c>
      <c r="I344">
        <v>36.1</v>
      </c>
      <c r="J344" t="str">
        <f>HYPERLINK("https://climate.onebuilding.org/WMO_Region_4_North_and_Central_America/CAN_Canada/NU_Nunavut/CAN_NU_Hat.Island.710840_TMYx.2004-2018.zip")</f>
        <v>https://climate.onebuilding.org/WMO_Region_4_North_and_Central_America/CAN_Canada/NU_Nunavut/CAN_NU_Hat.Island.710840_TMYx.2004-2018.zip</v>
      </c>
    </row>
    <row r="345" spans="1:10" x14ac:dyDescent="0.25">
      <c r="A345" t="s">
        <v>6</v>
      </c>
      <c r="B345" t="s">
        <v>42</v>
      </c>
      <c r="C345" t="s">
        <v>191</v>
      </c>
      <c r="D345">
        <v>710840</v>
      </c>
      <c r="E345" t="s">
        <v>10</v>
      </c>
      <c r="F345">
        <v>68.318100000000001</v>
      </c>
      <c r="G345">
        <v>-100.0869</v>
      </c>
      <c r="H345">
        <v>-7</v>
      </c>
      <c r="I345">
        <v>36.1</v>
      </c>
      <c r="J345" t="str">
        <f>HYPERLINK("https://climate.onebuilding.org/WMO_Region_4_North_and_Central_America/CAN_Canada/NU_Nunavut/CAN_NU_Hat.Island.710840_TMYx.2007-2021.zip")</f>
        <v>https://climate.onebuilding.org/WMO_Region_4_North_and_Central_America/CAN_Canada/NU_Nunavut/CAN_NU_Hat.Island.710840_TMYx.2007-2021.zip</v>
      </c>
    </row>
    <row r="346" spans="1:10" x14ac:dyDescent="0.25">
      <c r="A346" t="s">
        <v>6</v>
      </c>
      <c r="B346" t="s">
        <v>42</v>
      </c>
      <c r="C346" t="s">
        <v>191</v>
      </c>
      <c r="D346">
        <v>710840</v>
      </c>
      <c r="E346" t="s">
        <v>10</v>
      </c>
      <c r="F346">
        <v>68.318100000000001</v>
      </c>
      <c r="G346">
        <v>-100.0869</v>
      </c>
      <c r="H346">
        <v>-7</v>
      </c>
      <c r="I346">
        <v>36.1</v>
      </c>
      <c r="J346" t="str">
        <f>HYPERLINK("https://climate.onebuilding.org/WMO_Region_4_North_and_Central_America/CAN_Canada/NU_Nunavut/CAN_NU_Hat.Island.710840_TMYx.2009-2023.zip")</f>
        <v>https://climate.onebuilding.org/WMO_Region_4_North_and_Central_America/CAN_Canada/NU_Nunavut/CAN_NU_Hat.Island.710840_TMYx.2009-2023.zip</v>
      </c>
    </row>
    <row r="347" spans="1:10" x14ac:dyDescent="0.25">
      <c r="A347" t="s">
        <v>6</v>
      </c>
      <c r="B347" t="s">
        <v>42</v>
      </c>
      <c r="C347" t="s">
        <v>191</v>
      </c>
      <c r="D347">
        <v>710840</v>
      </c>
      <c r="E347" t="s">
        <v>10</v>
      </c>
      <c r="F347">
        <v>68.318100000000001</v>
      </c>
      <c r="G347">
        <v>-100.0869</v>
      </c>
      <c r="H347">
        <v>-7</v>
      </c>
      <c r="I347">
        <v>36.1</v>
      </c>
      <c r="J347" t="str">
        <f>HYPERLINK("https://climate.onebuilding.org/WMO_Region_4_North_and_Central_America/CAN_Canada/NU_Nunavut/CAN_NU_Hat.Island.710840_TMYx.zip")</f>
        <v>https://climate.onebuilding.org/WMO_Region_4_North_and_Central_America/CAN_Canada/NU_Nunavut/CAN_NU_Hat.Island.710840_TMYx.zip</v>
      </c>
    </row>
    <row r="348" spans="1:10" x14ac:dyDescent="0.25">
      <c r="A348" t="s">
        <v>6</v>
      </c>
      <c r="B348" t="s">
        <v>17</v>
      </c>
      <c r="C348" t="s">
        <v>193</v>
      </c>
      <c r="D348">
        <v>710850</v>
      </c>
      <c r="E348" t="s">
        <v>194</v>
      </c>
      <c r="F348">
        <v>49.520600000000002</v>
      </c>
      <c r="G348">
        <v>-113.99720000000001</v>
      </c>
      <c r="H348">
        <v>-7</v>
      </c>
      <c r="I348">
        <v>1189.5999999999999</v>
      </c>
      <c r="J348" t="str">
        <f>HYPERLINK("https://climate.onebuilding.org/WMO_Region_4_North_and_Central_America/CAN_Canada/AB_Alberta/CAN_AB_Pincher.Creek.AP.710850_TMYx.2004-2018.zip")</f>
        <v>https://climate.onebuilding.org/WMO_Region_4_North_and_Central_America/CAN_Canada/AB_Alberta/CAN_AB_Pincher.Creek.AP.710850_TMYx.2004-2018.zip</v>
      </c>
    </row>
    <row r="349" spans="1:10" x14ac:dyDescent="0.25">
      <c r="A349" t="s">
        <v>6</v>
      </c>
      <c r="B349" t="s">
        <v>17</v>
      </c>
      <c r="C349" t="s">
        <v>193</v>
      </c>
      <c r="D349">
        <v>710850</v>
      </c>
      <c r="E349" t="s">
        <v>10</v>
      </c>
      <c r="F349">
        <v>49.520600000000002</v>
      </c>
      <c r="G349">
        <v>-113.99720000000001</v>
      </c>
      <c r="H349">
        <v>-7</v>
      </c>
      <c r="I349">
        <v>1189.5999999999999</v>
      </c>
      <c r="J349" t="str">
        <f>HYPERLINK("https://climate.onebuilding.org/WMO_Region_4_North_and_Central_America/CAN_Canada/AB_Alberta/CAN_AB_Pincher.Creek.AP.710850_TMYx.2007-2021.zip")</f>
        <v>https://climate.onebuilding.org/WMO_Region_4_North_and_Central_America/CAN_Canada/AB_Alberta/CAN_AB_Pincher.Creek.AP.710850_TMYx.2007-2021.zip</v>
      </c>
    </row>
    <row r="350" spans="1:10" x14ac:dyDescent="0.25">
      <c r="A350" t="s">
        <v>6</v>
      </c>
      <c r="B350" t="s">
        <v>17</v>
      </c>
      <c r="C350" t="s">
        <v>193</v>
      </c>
      <c r="D350">
        <v>710850</v>
      </c>
      <c r="E350" t="s">
        <v>10</v>
      </c>
      <c r="F350">
        <v>49.520600000000002</v>
      </c>
      <c r="G350">
        <v>-113.99720000000001</v>
      </c>
      <c r="H350">
        <v>-7</v>
      </c>
      <c r="I350">
        <v>1189.5999999999999</v>
      </c>
      <c r="J350" t="str">
        <f>HYPERLINK("https://climate.onebuilding.org/WMO_Region_4_North_and_Central_America/CAN_Canada/AB_Alberta/CAN_AB_Pincher.Creek.AP.710850_TMYx.2009-2023.zip")</f>
        <v>https://climate.onebuilding.org/WMO_Region_4_North_and_Central_America/CAN_Canada/AB_Alberta/CAN_AB_Pincher.Creek.AP.710850_TMYx.2009-2023.zip</v>
      </c>
    </row>
    <row r="351" spans="1:10" x14ac:dyDescent="0.25">
      <c r="A351" t="s">
        <v>6</v>
      </c>
      <c r="B351" t="s">
        <v>17</v>
      </c>
      <c r="C351" t="s">
        <v>193</v>
      </c>
      <c r="D351">
        <v>710850</v>
      </c>
      <c r="E351" t="s">
        <v>10</v>
      </c>
      <c r="F351">
        <v>49.520600000000002</v>
      </c>
      <c r="G351">
        <v>-113.99720000000001</v>
      </c>
      <c r="H351">
        <v>-7</v>
      </c>
      <c r="I351">
        <v>1189.5999999999999</v>
      </c>
      <c r="J351" t="str">
        <f>HYPERLINK("https://climate.onebuilding.org/WMO_Region_4_North_and_Central_America/CAN_Canada/AB_Alberta/CAN_AB_Pincher.Creek.AP.710850_TMYx.zip")</f>
        <v>https://climate.onebuilding.org/WMO_Region_4_North_and_Central_America/CAN_Canada/AB_Alberta/CAN_AB_Pincher.Creek.AP.710850_TMYx.zip</v>
      </c>
    </row>
    <row r="352" spans="1:10" x14ac:dyDescent="0.25">
      <c r="A352" t="s">
        <v>6</v>
      </c>
      <c r="B352" t="s">
        <v>48</v>
      </c>
      <c r="C352" t="s">
        <v>195</v>
      </c>
      <c r="D352">
        <v>710870</v>
      </c>
      <c r="E352" t="s">
        <v>196</v>
      </c>
      <c r="F352">
        <v>61.316899999999997</v>
      </c>
      <c r="G352">
        <v>-117.6019</v>
      </c>
      <c r="H352">
        <v>-7</v>
      </c>
      <c r="I352">
        <v>161.5</v>
      </c>
      <c r="J352" t="str">
        <f>HYPERLINK("https://climate.onebuilding.org/WMO_Region_4_North_and_Central_America/CAN_Canada/NT_Northwest_Territories/CAN_NT_Fort.Providence.AP.710870_TMYx.2004-2018.zip")</f>
        <v>https://climate.onebuilding.org/WMO_Region_4_North_and_Central_America/CAN_Canada/NT_Northwest_Territories/CAN_NT_Fort.Providence.AP.710870_TMYx.2004-2018.zip</v>
      </c>
    </row>
    <row r="353" spans="1:10" x14ac:dyDescent="0.25">
      <c r="A353" t="s">
        <v>6</v>
      </c>
      <c r="B353" t="s">
        <v>48</v>
      </c>
      <c r="C353" t="s">
        <v>195</v>
      </c>
      <c r="D353">
        <v>710870</v>
      </c>
      <c r="E353" t="s">
        <v>10</v>
      </c>
      <c r="F353">
        <v>61.316899999999997</v>
      </c>
      <c r="G353">
        <v>-117.6019</v>
      </c>
      <c r="H353">
        <v>-7</v>
      </c>
      <c r="I353">
        <v>161.5</v>
      </c>
      <c r="J353" t="str">
        <f>HYPERLINK("https://climate.onebuilding.org/WMO_Region_4_North_and_Central_America/CAN_Canada/NT_Northwest_Territories/CAN_NT_Fort.Providence.AP.710870_TMYx.2007-2021.zip")</f>
        <v>https://climate.onebuilding.org/WMO_Region_4_North_and_Central_America/CAN_Canada/NT_Northwest_Territories/CAN_NT_Fort.Providence.AP.710870_TMYx.2007-2021.zip</v>
      </c>
    </row>
    <row r="354" spans="1:10" x14ac:dyDescent="0.25">
      <c r="A354" t="s">
        <v>6</v>
      </c>
      <c r="B354" t="s">
        <v>48</v>
      </c>
      <c r="C354" t="s">
        <v>195</v>
      </c>
      <c r="D354">
        <v>710870</v>
      </c>
      <c r="E354" t="s">
        <v>10</v>
      </c>
      <c r="F354">
        <v>61.316899999999997</v>
      </c>
      <c r="G354">
        <v>-117.6019</v>
      </c>
      <c r="H354">
        <v>-7</v>
      </c>
      <c r="I354">
        <v>161.5</v>
      </c>
      <c r="J354" t="str">
        <f>HYPERLINK("https://climate.onebuilding.org/WMO_Region_4_North_and_Central_America/CAN_Canada/NT_Northwest_Territories/CAN_NT_Fort.Providence.AP.710870_TMYx.2009-2023.zip")</f>
        <v>https://climate.onebuilding.org/WMO_Region_4_North_and_Central_America/CAN_Canada/NT_Northwest_Territories/CAN_NT_Fort.Providence.AP.710870_TMYx.2009-2023.zip</v>
      </c>
    </row>
    <row r="355" spans="1:10" x14ac:dyDescent="0.25">
      <c r="A355" t="s">
        <v>6</v>
      </c>
      <c r="B355" t="s">
        <v>48</v>
      </c>
      <c r="C355" t="s">
        <v>195</v>
      </c>
      <c r="D355">
        <v>710870</v>
      </c>
      <c r="E355" t="s">
        <v>10</v>
      </c>
      <c r="F355">
        <v>61.316899999999997</v>
      </c>
      <c r="G355">
        <v>-117.6019</v>
      </c>
      <c r="H355">
        <v>-7</v>
      </c>
      <c r="I355">
        <v>161.5</v>
      </c>
      <c r="J355" t="str">
        <f>HYPERLINK("https://climate.onebuilding.org/WMO_Region_4_North_and_Central_America/CAN_Canada/NT_Northwest_Territories/CAN_NT_Fort.Providence.AP.710870_TMYx.zip")</f>
        <v>https://climate.onebuilding.org/WMO_Region_4_North_and_Central_America/CAN_Canada/NT_Northwest_Territories/CAN_NT_Fort.Providence.AP.710870_TMYx.zip</v>
      </c>
    </row>
    <row r="356" spans="1:10" x14ac:dyDescent="0.25">
      <c r="A356" t="s">
        <v>6</v>
      </c>
      <c r="B356" t="s">
        <v>42</v>
      </c>
      <c r="C356" t="s">
        <v>197</v>
      </c>
      <c r="D356">
        <v>710880</v>
      </c>
      <c r="E356" t="s">
        <v>198</v>
      </c>
      <c r="F356">
        <v>69.063199999999995</v>
      </c>
      <c r="G356">
        <v>-79.081599999999995</v>
      </c>
      <c r="H356">
        <v>-5</v>
      </c>
      <c r="I356">
        <v>41</v>
      </c>
      <c r="J356" t="str">
        <f>HYPERLINK("https://climate.onebuilding.org/WMO_Region_4_North_and_Central_America/CAN_Canada/NU_Nunavut/CAN_NU_Rowley.Island.AP.710880_TMYx.2004-2018.zip")</f>
        <v>https://climate.onebuilding.org/WMO_Region_4_North_and_Central_America/CAN_Canada/NU_Nunavut/CAN_NU_Rowley.Island.AP.710880_TMYx.2004-2018.zip</v>
      </c>
    </row>
    <row r="357" spans="1:10" x14ac:dyDescent="0.25">
      <c r="A357" t="s">
        <v>6</v>
      </c>
      <c r="B357" t="s">
        <v>42</v>
      </c>
      <c r="C357" t="s">
        <v>197</v>
      </c>
      <c r="D357">
        <v>710880</v>
      </c>
      <c r="E357" t="s">
        <v>10</v>
      </c>
      <c r="F357">
        <v>69.063159999999996</v>
      </c>
      <c r="G357">
        <v>-79.081569999999999</v>
      </c>
      <c r="H357">
        <v>-5</v>
      </c>
      <c r="I357">
        <v>41</v>
      </c>
      <c r="J357" t="str">
        <f>HYPERLINK("https://climate.onebuilding.org/WMO_Region_4_North_and_Central_America/CAN_Canada/NU_Nunavut/CAN_NU_Rowley.Island.AP.710880_TMYx.2007-2021.zip")</f>
        <v>https://climate.onebuilding.org/WMO_Region_4_North_and_Central_America/CAN_Canada/NU_Nunavut/CAN_NU_Rowley.Island.AP.710880_TMYx.2007-2021.zip</v>
      </c>
    </row>
    <row r="358" spans="1:10" x14ac:dyDescent="0.25">
      <c r="A358" t="s">
        <v>6</v>
      </c>
      <c r="B358" t="s">
        <v>42</v>
      </c>
      <c r="C358" t="s">
        <v>197</v>
      </c>
      <c r="D358">
        <v>710880</v>
      </c>
      <c r="E358" t="s">
        <v>10</v>
      </c>
      <c r="F358">
        <v>69.063159999999996</v>
      </c>
      <c r="G358">
        <v>-79.081569999999999</v>
      </c>
      <c r="H358">
        <v>-5</v>
      </c>
      <c r="I358">
        <v>41</v>
      </c>
      <c r="J358" t="str">
        <f>HYPERLINK("https://climate.onebuilding.org/WMO_Region_4_North_and_Central_America/CAN_Canada/NU_Nunavut/CAN_NU_Rowley.Island.AP.710880_TMYx.2009-2023.zip")</f>
        <v>https://climate.onebuilding.org/WMO_Region_4_North_and_Central_America/CAN_Canada/NU_Nunavut/CAN_NU_Rowley.Island.AP.710880_TMYx.2009-2023.zip</v>
      </c>
    </row>
    <row r="359" spans="1:10" x14ac:dyDescent="0.25">
      <c r="A359" t="s">
        <v>6</v>
      </c>
      <c r="B359" t="s">
        <v>42</v>
      </c>
      <c r="C359" t="s">
        <v>197</v>
      </c>
      <c r="D359">
        <v>710880</v>
      </c>
      <c r="E359" t="s">
        <v>10</v>
      </c>
      <c r="F359">
        <v>69.063159999999996</v>
      </c>
      <c r="G359">
        <v>-79.081569999999999</v>
      </c>
      <c r="H359">
        <v>-5</v>
      </c>
      <c r="I359">
        <v>41</v>
      </c>
      <c r="J359" t="str">
        <f>HYPERLINK("https://climate.onebuilding.org/WMO_Region_4_North_and_Central_America/CAN_Canada/NU_Nunavut/CAN_NU_Rowley.Island.AP.710880_TMYx.zip")</f>
        <v>https://climate.onebuilding.org/WMO_Region_4_North_and_Central_America/CAN_Canada/NU_Nunavut/CAN_NU_Rowley.Island.AP.710880_TMYx.zip</v>
      </c>
    </row>
    <row r="360" spans="1:10" x14ac:dyDescent="0.25">
      <c r="A360" t="s">
        <v>6</v>
      </c>
      <c r="B360" t="s">
        <v>17</v>
      </c>
      <c r="C360" t="s">
        <v>199</v>
      </c>
      <c r="D360">
        <v>710890</v>
      </c>
      <c r="E360" t="s">
        <v>200</v>
      </c>
      <c r="F360">
        <v>52.5869</v>
      </c>
      <c r="G360">
        <v>-110.3428</v>
      </c>
      <c r="H360">
        <v>-7</v>
      </c>
      <c r="I360">
        <v>644</v>
      </c>
      <c r="J360" t="str">
        <f>HYPERLINK("https://climate.onebuilding.org/WMO_Region_4_North_and_Central_America/CAN_Canada/AB_Alberta/CAN_AB_Ribstone.South.AgCM.710890_TMYx.2004-2018.zip")</f>
        <v>https://climate.onebuilding.org/WMO_Region_4_North_and_Central_America/CAN_Canada/AB_Alberta/CAN_AB_Ribstone.South.AgCM.710890_TMYx.2004-2018.zip</v>
      </c>
    </row>
    <row r="361" spans="1:10" x14ac:dyDescent="0.25">
      <c r="A361" t="s">
        <v>6</v>
      </c>
      <c r="B361" t="s">
        <v>17</v>
      </c>
      <c r="C361" t="s">
        <v>199</v>
      </c>
      <c r="D361">
        <v>710890</v>
      </c>
      <c r="E361" t="s">
        <v>10</v>
      </c>
      <c r="F361">
        <v>52.5869</v>
      </c>
      <c r="G361">
        <v>-110.3428</v>
      </c>
      <c r="H361">
        <v>-7</v>
      </c>
      <c r="I361">
        <v>644</v>
      </c>
      <c r="J361" t="str">
        <f>HYPERLINK("https://climate.onebuilding.org/WMO_Region_4_North_and_Central_America/CAN_Canada/AB_Alberta/CAN_AB_Ribstone.South.AgCM.710890_TMYx.2007-2021.zip")</f>
        <v>https://climate.onebuilding.org/WMO_Region_4_North_and_Central_America/CAN_Canada/AB_Alberta/CAN_AB_Ribstone.South.AgCM.710890_TMYx.2007-2021.zip</v>
      </c>
    </row>
    <row r="362" spans="1:10" x14ac:dyDescent="0.25">
      <c r="A362" t="s">
        <v>6</v>
      </c>
      <c r="B362" t="s">
        <v>17</v>
      </c>
      <c r="C362" t="s">
        <v>199</v>
      </c>
      <c r="D362">
        <v>710890</v>
      </c>
      <c r="E362" t="s">
        <v>10</v>
      </c>
      <c r="F362">
        <v>52.5869</v>
      </c>
      <c r="G362">
        <v>-110.3428</v>
      </c>
      <c r="H362">
        <v>-7</v>
      </c>
      <c r="I362">
        <v>644</v>
      </c>
      <c r="J362" t="str">
        <f>HYPERLINK("https://climate.onebuilding.org/WMO_Region_4_North_and_Central_America/CAN_Canada/AB_Alberta/CAN_AB_Ribstone.South.AgCM.710890_TMYx.2009-2023.zip")</f>
        <v>https://climate.onebuilding.org/WMO_Region_4_North_and_Central_America/CAN_Canada/AB_Alberta/CAN_AB_Ribstone.South.AgCM.710890_TMYx.2009-2023.zip</v>
      </c>
    </row>
    <row r="363" spans="1:10" x14ac:dyDescent="0.25">
      <c r="A363" t="s">
        <v>6</v>
      </c>
      <c r="B363" t="s">
        <v>17</v>
      </c>
      <c r="C363" t="s">
        <v>199</v>
      </c>
      <c r="D363">
        <v>710890</v>
      </c>
      <c r="E363" t="s">
        <v>10</v>
      </c>
      <c r="F363">
        <v>52.5869</v>
      </c>
      <c r="G363">
        <v>-110.3428</v>
      </c>
      <c r="H363">
        <v>-7</v>
      </c>
      <c r="I363">
        <v>644</v>
      </c>
      <c r="J363" t="str">
        <f>HYPERLINK("https://climate.onebuilding.org/WMO_Region_4_North_and_Central_America/CAN_Canada/AB_Alberta/CAN_AB_Ribstone.South.AgCM.710890_TMYx.zip")</f>
        <v>https://climate.onebuilding.org/WMO_Region_4_North_and_Central_America/CAN_Canada/AB_Alberta/CAN_AB_Ribstone.South.AgCM.710890_TMYx.zip</v>
      </c>
    </row>
    <row r="364" spans="1:10" x14ac:dyDescent="0.25">
      <c r="A364" t="s">
        <v>6</v>
      </c>
      <c r="B364" t="s">
        <v>42</v>
      </c>
      <c r="C364" t="s">
        <v>201</v>
      </c>
      <c r="D364">
        <v>710900</v>
      </c>
      <c r="E364" t="s">
        <v>202</v>
      </c>
      <c r="F364">
        <v>70.485799999999998</v>
      </c>
      <c r="G364">
        <v>-68.516900000000007</v>
      </c>
      <c r="H364">
        <v>-5</v>
      </c>
      <c r="I364">
        <v>26.5</v>
      </c>
      <c r="J364" t="str">
        <f>HYPERLINK("https://climate.onebuilding.org/WMO_Region_4_North_and_Central_America/CAN_Canada/NU_Nunavut/CAN_NU_Clyde.River.AP.710900_TMYx.2004-2018.zip")</f>
        <v>https://climate.onebuilding.org/WMO_Region_4_North_and_Central_America/CAN_Canada/NU_Nunavut/CAN_NU_Clyde.River.AP.710900_TMYx.2004-2018.zip</v>
      </c>
    </row>
    <row r="365" spans="1:10" x14ac:dyDescent="0.25">
      <c r="A365" t="s">
        <v>6</v>
      </c>
      <c r="B365" t="s">
        <v>42</v>
      </c>
      <c r="C365" t="s">
        <v>201</v>
      </c>
      <c r="D365">
        <v>710900</v>
      </c>
      <c r="E365" t="s">
        <v>10</v>
      </c>
      <c r="F365">
        <v>70.485799999999998</v>
      </c>
      <c r="G365">
        <v>-68.516900000000007</v>
      </c>
      <c r="H365">
        <v>-5</v>
      </c>
      <c r="I365">
        <v>26.5</v>
      </c>
      <c r="J365" t="str">
        <f>HYPERLINK("https://climate.onebuilding.org/WMO_Region_4_North_and_Central_America/CAN_Canada/NU_Nunavut/CAN_NU_Clyde.River.AP.710900_TMYx.2007-2021.zip")</f>
        <v>https://climate.onebuilding.org/WMO_Region_4_North_and_Central_America/CAN_Canada/NU_Nunavut/CAN_NU_Clyde.River.AP.710900_TMYx.2007-2021.zip</v>
      </c>
    </row>
    <row r="366" spans="1:10" x14ac:dyDescent="0.25">
      <c r="A366" t="s">
        <v>6</v>
      </c>
      <c r="B366" t="s">
        <v>42</v>
      </c>
      <c r="C366" t="s">
        <v>201</v>
      </c>
      <c r="D366">
        <v>710900</v>
      </c>
      <c r="E366" t="s">
        <v>10</v>
      </c>
      <c r="F366">
        <v>70.485799999999998</v>
      </c>
      <c r="G366">
        <v>-68.516900000000007</v>
      </c>
      <c r="H366">
        <v>-5</v>
      </c>
      <c r="I366">
        <v>26.5</v>
      </c>
      <c r="J366" t="str">
        <f>HYPERLINK("https://climate.onebuilding.org/WMO_Region_4_North_and_Central_America/CAN_Canada/NU_Nunavut/CAN_NU_Clyde.River.AP.710900_TMYx.2009-2023.zip")</f>
        <v>https://climate.onebuilding.org/WMO_Region_4_North_and_Central_America/CAN_Canada/NU_Nunavut/CAN_NU_Clyde.River.AP.710900_TMYx.2009-2023.zip</v>
      </c>
    </row>
    <row r="367" spans="1:10" x14ac:dyDescent="0.25">
      <c r="A367" t="s">
        <v>6</v>
      </c>
      <c r="B367" t="s">
        <v>42</v>
      </c>
      <c r="C367" t="s">
        <v>201</v>
      </c>
      <c r="D367">
        <v>710900</v>
      </c>
      <c r="E367" t="s">
        <v>10</v>
      </c>
      <c r="F367">
        <v>70.485799999999998</v>
      </c>
      <c r="G367">
        <v>-68.516900000000007</v>
      </c>
      <c r="H367">
        <v>-5</v>
      </c>
      <c r="I367">
        <v>26.5</v>
      </c>
      <c r="J367" t="str">
        <f>HYPERLINK("https://climate.onebuilding.org/WMO_Region_4_North_and_Central_America/CAN_Canada/NU_Nunavut/CAN_NU_Clyde.River.AP.710900_TMYx.zip")</f>
        <v>https://climate.onebuilding.org/WMO_Region_4_North_and_Central_America/CAN_Canada/NU_Nunavut/CAN_NU_Clyde.River.AP.710900_TMYx.zip</v>
      </c>
    </row>
    <row r="368" spans="1:10" x14ac:dyDescent="0.25">
      <c r="A368" t="s">
        <v>6</v>
      </c>
      <c r="B368" t="s">
        <v>42</v>
      </c>
      <c r="C368" t="s">
        <v>203</v>
      </c>
      <c r="D368">
        <v>710910</v>
      </c>
      <c r="E368" t="s">
        <v>10</v>
      </c>
      <c r="F368">
        <v>68.899000000000001</v>
      </c>
      <c r="G368">
        <v>-75.141000000000005</v>
      </c>
      <c r="H368">
        <v>-5</v>
      </c>
      <c r="I368">
        <v>162</v>
      </c>
      <c r="J368" t="str">
        <f>HYPERLINK("https://climate.onebuilding.org/WMO_Region_4_North_and_Central_America/CAN_Canada/NU_Nunavut/CAN_NU_Longstaff.Bluff.AP.710910_TMYx.2007-2021.zip")</f>
        <v>https://climate.onebuilding.org/WMO_Region_4_North_and_Central_America/CAN_Canada/NU_Nunavut/CAN_NU_Longstaff.Bluff.AP.710910_TMYx.2007-2021.zip</v>
      </c>
    </row>
    <row r="369" spans="1:10" x14ac:dyDescent="0.25">
      <c r="A369" t="s">
        <v>6</v>
      </c>
      <c r="B369" t="s">
        <v>42</v>
      </c>
      <c r="C369" t="s">
        <v>203</v>
      </c>
      <c r="D369">
        <v>710910</v>
      </c>
      <c r="E369" t="s">
        <v>10</v>
      </c>
      <c r="F369">
        <v>68.899000000000001</v>
      </c>
      <c r="G369">
        <v>-75.141000000000005</v>
      </c>
      <c r="H369">
        <v>-5</v>
      </c>
      <c r="I369">
        <v>162</v>
      </c>
      <c r="J369" t="str">
        <f>HYPERLINK("https://climate.onebuilding.org/WMO_Region_4_North_and_Central_America/CAN_Canada/NU_Nunavut/CAN_NU_Longstaff.Bluff.AP.710910_TMYx.2009-2023.zip")</f>
        <v>https://climate.onebuilding.org/WMO_Region_4_North_and_Central_America/CAN_Canada/NU_Nunavut/CAN_NU_Longstaff.Bluff.AP.710910_TMYx.2009-2023.zip</v>
      </c>
    </row>
    <row r="370" spans="1:10" x14ac:dyDescent="0.25">
      <c r="A370" t="s">
        <v>6</v>
      </c>
      <c r="B370" t="s">
        <v>42</v>
      </c>
      <c r="C370" t="s">
        <v>203</v>
      </c>
      <c r="D370">
        <v>710910</v>
      </c>
      <c r="E370" t="s">
        <v>10</v>
      </c>
      <c r="F370">
        <v>68.899000000000001</v>
      </c>
      <c r="G370">
        <v>-75.141000000000005</v>
      </c>
      <c r="H370">
        <v>-5</v>
      </c>
      <c r="I370">
        <v>162</v>
      </c>
      <c r="J370" t="str">
        <f>HYPERLINK("https://climate.onebuilding.org/WMO_Region_4_North_and_Central_America/CAN_Canada/NU_Nunavut/CAN_NU_Longstaff.Bluff.AP.710910_TMYx.zip")</f>
        <v>https://climate.onebuilding.org/WMO_Region_4_North_and_Central_America/CAN_Canada/NU_Nunavut/CAN_NU_Longstaff.Bluff.AP.710910_TMYx.zip</v>
      </c>
    </row>
    <row r="371" spans="1:10" x14ac:dyDescent="0.25">
      <c r="A371" t="s">
        <v>6</v>
      </c>
      <c r="B371" t="s">
        <v>42</v>
      </c>
      <c r="C371" t="s">
        <v>204</v>
      </c>
      <c r="D371">
        <v>710920</v>
      </c>
      <c r="E371" t="s">
        <v>205</v>
      </c>
      <c r="F371">
        <v>68.650000000000006</v>
      </c>
      <c r="G371">
        <v>-71.166700000000006</v>
      </c>
      <c r="H371">
        <v>-5</v>
      </c>
      <c r="I371">
        <v>526.70000000000005</v>
      </c>
      <c r="J371" t="str">
        <f>HYPERLINK("https://climate.onebuilding.org/WMO_Region_4_North_and_Central_America/CAN_Canada/NU_Nunavut/CAN_NU_Dewar.Lakes.Stn.710920_TMYx.2004-2018.zip")</f>
        <v>https://climate.onebuilding.org/WMO_Region_4_North_and_Central_America/CAN_Canada/NU_Nunavut/CAN_NU_Dewar.Lakes.Stn.710920_TMYx.2004-2018.zip</v>
      </c>
    </row>
    <row r="372" spans="1:10" x14ac:dyDescent="0.25">
      <c r="A372" t="s">
        <v>6</v>
      </c>
      <c r="B372" t="s">
        <v>42</v>
      </c>
      <c r="C372" t="s">
        <v>204</v>
      </c>
      <c r="D372">
        <v>710920</v>
      </c>
      <c r="E372" t="s">
        <v>10</v>
      </c>
      <c r="F372">
        <v>68.650999999999996</v>
      </c>
      <c r="G372">
        <v>-71.233999999999995</v>
      </c>
      <c r="H372">
        <v>-5</v>
      </c>
      <c r="I372">
        <v>526.70000000000005</v>
      </c>
      <c r="J372" t="str">
        <f>HYPERLINK("https://climate.onebuilding.org/WMO_Region_4_North_and_Central_America/CAN_Canada/NU_Nunavut/CAN_NU_Dewar.Lakes.Stn.710920_TMYx.2007-2021.zip")</f>
        <v>https://climate.onebuilding.org/WMO_Region_4_North_and_Central_America/CAN_Canada/NU_Nunavut/CAN_NU_Dewar.Lakes.Stn.710920_TMYx.2007-2021.zip</v>
      </c>
    </row>
    <row r="373" spans="1:10" x14ac:dyDescent="0.25">
      <c r="A373" t="s">
        <v>6</v>
      </c>
      <c r="B373" t="s">
        <v>42</v>
      </c>
      <c r="C373" t="s">
        <v>204</v>
      </c>
      <c r="D373">
        <v>710920</v>
      </c>
      <c r="E373" t="s">
        <v>10</v>
      </c>
      <c r="F373">
        <v>68.650999999999996</v>
      </c>
      <c r="G373">
        <v>-71.233999999999995</v>
      </c>
      <c r="H373">
        <v>-5</v>
      </c>
      <c r="I373">
        <v>526.70000000000005</v>
      </c>
      <c r="J373" t="str">
        <f>HYPERLINK("https://climate.onebuilding.org/WMO_Region_4_North_and_Central_America/CAN_Canada/NU_Nunavut/CAN_NU_Dewar.Lakes.Stn.710920_TMYx.2009-2023.zip")</f>
        <v>https://climate.onebuilding.org/WMO_Region_4_North_and_Central_America/CAN_Canada/NU_Nunavut/CAN_NU_Dewar.Lakes.Stn.710920_TMYx.2009-2023.zip</v>
      </c>
    </row>
    <row r="374" spans="1:10" x14ac:dyDescent="0.25">
      <c r="A374" t="s">
        <v>6</v>
      </c>
      <c r="B374" t="s">
        <v>42</v>
      </c>
      <c r="C374" t="s">
        <v>204</v>
      </c>
      <c r="D374">
        <v>710920</v>
      </c>
      <c r="E374" t="s">
        <v>10</v>
      </c>
      <c r="F374">
        <v>68.650999999999996</v>
      </c>
      <c r="G374">
        <v>-71.233999999999995</v>
      </c>
      <c r="H374">
        <v>-5</v>
      </c>
      <c r="I374">
        <v>526.70000000000005</v>
      </c>
      <c r="J374" t="str">
        <f>HYPERLINK("https://climate.onebuilding.org/WMO_Region_4_North_and_Central_America/CAN_Canada/NU_Nunavut/CAN_NU_Dewar.Lakes.Stn.710920_TMYx.zip")</f>
        <v>https://climate.onebuilding.org/WMO_Region_4_North_and_Central_America/CAN_Canada/NU_Nunavut/CAN_NU_Dewar.Lakes.Stn.710920_TMYx.zip</v>
      </c>
    </row>
    <row r="375" spans="1:10" x14ac:dyDescent="0.25">
      <c r="A375" t="s">
        <v>6</v>
      </c>
      <c r="B375" t="s">
        <v>42</v>
      </c>
      <c r="C375" t="s">
        <v>206</v>
      </c>
      <c r="D375">
        <v>710930</v>
      </c>
      <c r="E375" t="s">
        <v>207</v>
      </c>
      <c r="F375">
        <v>68.466999999999999</v>
      </c>
      <c r="G375">
        <v>-66.783000000000001</v>
      </c>
      <c r="H375">
        <v>-5</v>
      </c>
      <c r="I375">
        <v>390</v>
      </c>
      <c r="J375" t="str">
        <f>HYPERLINK("https://climate.onebuilding.org/WMO_Region_4_North_and_Central_America/CAN_Canada/NU_Nunavut/CAN_NU_Cape.Hooper.710930_TMYx.2004-2018.zip")</f>
        <v>https://climate.onebuilding.org/WMO_Region_4_North_and_Central_America/CAN_Canada/NU_Nunavut/CAN_NU_Cape.Hooper.710930_TMYx.2004-2018.zip</v>
      </c>
    </row>
    <row r="376" spans="1:10" x14ac:dyDescent="0.25">
      <c r="A376" t="s">
        <v>6</v>
      </c>
      <c r="B376" t="s">
        <v>42</v>
      </c>
      <c r="C376" t="s">
        <v>206</v>
      </c>
      <c r="D376">
        <v>710930</v>
      </c>
      <c r="E376" t="s">
        <v>10</v>
      </c>
      <c r="F376">
        <v>68.471999999999994</v>
      </c>
      <c r="G376">
        <v>-66.798000000000002</v>
      </c>
      <c r="H376">
        <v>-5</v>
      </c>
      <c r="I376">
        <v>390</v>
      </c>
      <c r="J376" t="str">
        <f>HYPERLINK("https://climate.onebuilding.org/WMO_Region_4_North_and_Central_America/CAN_Canada/NU_Nunavut/CAN_NU_Cape.Hooper.710930_TMYx.2007-2021.zip")</f>
        <v>https://climate.onebuilding.org/WMO_Region_4_North_and_Central_America/CAN_Canada/NU_Nunavut/CAN_NU_Cape.Hooper.710930_TMYx.2007-2021.zip</v>
      </c>
    </row>
    <row r="377" spans="1:10" x14ac:dyDescent="0.25">
      <c r="A377" t="s">
        <v>6</v>
      </c>
      <c r="B377" t="s">
        <v>42</v>
      </c>
      <c r="C377" t="s">
        <v>206</v>
      </c>
      <c r="D377">
        <v>710930</v>
      </c>
      <c r="E377" t="s">
        <v>10</v>
      </c>
      <c r="F377">
        <v>68.471999999999994</v>
      </c>
      <c r="G377">
        <v>-66.798000000000002</v>
      </c>
      <c r="H377">
        <v>-5</v>
      </c>
      <c r="I377">
        <v>390</v>
      </c>
      <c r="J377" t="str">
        <f>HYPERLINK("https://climate.onebuilding.org/WMO_Region_4_North_and_Central_America/CAN_Canada/NU_Nunavut/CAN_NU_Cape.Hooper.710930_TMYx.2009-2023.zip")</f>
        <v>https://climate.onebuilding.org/WMO_Region_4_North_and_Central_America/CAN_Canada/NU_Nunavut/CAN_NU_Cape.Hooper.710930_TMYx.2009-2023.zip</v>
      </c>
    </row>
    <row r="378" spans="1:10" x14ac:dyDescent="0.25">
      <c r="A378" t="s">
        <v>6</v>
      </c>
      <c r="B378" t="s">
        <v>42</v>
      </c>
      <c r="C378" t="s">
        <v>206</v>
      </c>
      <c r="D378">
        <v>710930</v>
      </c>
      <c r="E378" t="s">
        <v>10</v>
      </c>
      <c r="F378">
        <v>68.471999999999994</v>
      </c>
      <c r="G378">
        <v>-66.798000000000002</v>
      </c>
      <c r="H378">
        <v>-5</v>
      </c>
      <c r="I378">
        <v>390</v>
      </c>
      <c r="J378" t="str">
        <f>HYPERLINK("https://climate.onebuilding.org/WMO_Region_4_North_and_Central_America/CAN_Canada/NU_Nunavut/CAN_NU_Cape.Hooper.710930_TMYx.zip")</f>
        <v>https://climate.onebuilding.org/WMO_Region_4_North_and_Central_America/CAN_Canada/NU_Nunavut/CAN_NU_Cape.Hooper.710930_TMYx.zip</v>
      </c>
    </row>
    <row r="379" spans="1:10" x14ac:dyDescent="0.25">
      <c r="A379" t="s">
        <v>6</v>
      </c>
      <c r="B379" t="s">
        <v>42</v>
      </c>
      <c r="C379" t="s">
        <v>208</v>
      </c>
      <c r="D379">
        <v>710940</v>
      </c>
      <c r="E379" t="s">
        <v>209</v>
      </c>
      <c r="F379">
        <v>66.650000000000006</v>
      </c>
      <c r="G379">
        <v>-61.383299999999998</v>
      </c>
      <c r="H379">
        <v>-5</v>
      </c>
      <c r="I379">
        <v>725.1</v>
      </c>
      <c r="J379" t="str">
        <f>HYPERLINK("https://climate.onebuilding.org/WMO_Region_4_North_and_Central_America/CAN_Canada/NU_Nunavut/CAN_NU_Cape.Dyer.710940_TMYx.2004-2018.zip")</f>
        <v>https://climate.onebuilding.org/WMO_Region_4_North_and_Central_America/CAN_Canada/NU_Nunavut/CAN_NU_Cape.Dyer.710940_TMYx.2004-2018.zip</v>
      </c>
    </row>
    <row r="380" spans="1:10" x14ac:dyDescent="0.25">
      <c r="A380" t="s">
        <v>6</v>
      </c>
      <c r="B380" t="s">
        <v>42</v>
      </c>
      <c r="C380" t="s">
        <v>208</v>
      </c>
      <c r="D380">
        <v>710940</v>
      </c>
      <c r="E380" t="s">
        <v>10</v>
      </c>
      <c r="F380">
        <v>66.665000000000006</v>
      </c>
      <c r="G380">
        <v>-61.357999999999997</v>
      </c>
      <c r="H380">
        <v>-5</v>
      </c>
      <c r="I380">
        <v>725.1</v>
      </c>
      <c r="J380" t="str">
        <f>HYPERLINK("https://climate.onebuilding.org/WMO_Region_4_North_and_Central_America/CAN_Canada/NU_Nunavut/CAN_NU_Cape.Dyer.710940_TMYx.2007-2021.zip")</f>
        <v>https://climate.onebuilding.org/WMO_Region_4_North_and_Central_America/CAN_Canada/NU_Nunavut/CAN_NU_Cape.Dyer.710940_TMYx.2007-2021.zip</v>
      </c>
    </row>
    <row r="381" spans="1:10" x14ac:dyDescent="0.25">
      <c r="A381" t="s">
        <v>6</v>
      </c>
      <c r="B381" t="s">
        <v>42</v>
      </c>
      <c r="C381" t="s">
        <v>208</v>
      </c>
      <c r="D381">
        <v>710940</v>
      </c>
      <c r="E381" t="s">
        <v>10</v>
      </c>
      <c r="F381">
        <v>66.665000000000006</v>
      </c>
      <c r="G381">
        <v>-61.357999999999997</v>
      </c>
      <c r="H381">
        <v>-5</v>
      </c>
      <c r="I381">
        <v>725.1</v>
      </c>
      <c r="J381" t="str">
        <f>HYPERLINK("https://climate.onebuilding.org/WMO_Region_4_North_and_Central_America/CAN_Canada/NU_Nunavut/CAN_NU_Cape.Dyer.710940_TMYx.2009-2023.zip")</f>
        <v>https://climate.onebuilding.org/WMO_Region_4_North_and_Central_America/CAN_Canada/NU_Nunavut/CAN_NU_Cape.Dyer.710940_TMYx.2009-2023.zip</v>
      </c>
    </row>
    <row r="382" spans="1:10" x14ac:dyDescent="0.25">
      <c r="A382" t="s">
        <v>6</v>
      </c>
      <c r="B382" t="s">
        <v>42</v>
      </c>
      <c r="C382" t="s">
        <v>208</v>
      </c>
      <c r="D382">
        <v>710940</v>
      </c>
      <c r="E382" t="s">
        <v>10</v>
      </c>
      <c r="F382">
        <v>66.665000000000006</v>
      </c>
      <c r="G382">
        <v>-61.357999999999997</v>
      </c>
      <c r="H382">
        <v>-5</v>
      </c>
      <c r="I382">
        <v>725.1</v>
      </c>
      <c r="J382" t="str">
        <f>HYPERLINK("https://climate.onebuilding.org/WMO_Region_4_North_and_Central_America/CAN_Canada/NU_Nunavut/CAN_NU_Cape.Dyer.710940_TMYx.zip")</f>
        <v>https://climate.onebuilding.org/WMO_Region_4_North_and_Central_America/CAN_Canada/NU_Nunavut/CAN_NU_Cape.Dyer.710940_TMYx.zip</v>
      </c>
    </row>
    <row r="383" spans="1:10" x14ac:dyDescent="0.25">
      <c r="A383" t="s">
        <v>6</v>
      </c>
      <c r="B383" t="s">
        <v>42</v>
      </c>
      <c r="C383" t="s">
        <v>210</v>
      </c>
      <c r="D383">
        <v>710944</v>
      </c>
      <c r="E383" t="s">
        <v>211</v>
      </c>
      <c r="F383">
        <v>66.521000000000001</v>
      </c>
      <c r="G383">
        <v>-86.224999999999994</v>
      </c>
      <c r="H383">
        <v>-6</v>
      </c>
      <c r="I383">
        <v>24.4</v>
      </c>
      <c r="J383" t="str">
        <f>HYPERLINK("https://climate.onebuilding.org/WMO_Region_4_North_and_Central_America/CAN_Canada/NU_Nunavut/CAN_NU_Naujaat-Repulse.Bay.AP.710944_TMYx.2004-2018.zip")</f>
        <v>https://climate.onebuilding.org/WMO_Region_4_North_and_Central_America/CAN_Canada/NU_Nunavut/CAN_NU_Naujaat-Repulse.Bay.AP.710944_TMYx.2004-2018.zip</v>
      </c>
    </row>
    <row r="384" spans="1:10" x14ac:dyDescent="0.25">
      <c r="A384" t="s">
        <v>6</v>
      </c>
      <c r="B384" t="s">
        <v>42</v>
      </c>
      <c r="C384" t="s">
        <v>210</v>
      </c>
      <c r="D384">
        <v>710944</v>
      </c>
      <c r="E384" t="s">
        <v>10</v>
      </c>
      <c r="F384">
        <v>66.521000000000001</v>
      </c>
      <c r="G384">
        <v>-86.224999999999994</v>
      </c>
      <c r="H384">
        <v>-6</v>
      </c>
      <c r="I384">
        <v>24.4</v>
      </c>
      <c r="J384" t="str">
        <f>HYPERLINK("https://climate.onebuilding.org/WMO_Region_4_North_and_Central_America/CAN_Canada/NU_Nunavut/CAN_NU_Naujaat-Repulse.Bay.AP.710944_TMYx.2007-2021.zip")</f>
        <v>https://climate.onebuilding.org/WMO_Region_4_North_and_Central_America/CAN_Canada/NU_Nunavut/CAN_NU_Naujaat-Repulse.Bay.AP.710944_TMYx.2007-2021.zip</v>
      </c>
    </row>
    <row r="385" spans="1:10" x14ac:dyDescent="0.25">
      <c r="A385" t="s">
        <v>6</v>
      </c>
      <c r="B385" t="s">
        <v>42</v>
      </c>
      <c r="C385" t="s">
        <v>210</v>
      </c>
      <c r="D385">
        <v>710944</v>
      </c>
      <c r="E385" t="s">
        <v>10</v>
      </c>
      <c r="F385">
        <v>66.521000000000001</v>
      </c>
      <c r="G385">
        <v>-86.224999999999994</v>
      </c>
      <c r="H385">
        <v>-6</v>
      </c>
      <c r="I385">
        <v>24.4</v>
      </c>
      <c r="J385" t="str">
        <f>HYPERLINK("https://climate.onebuilding.org/WMO_Region_4_North_and_Central_America/CAN_Canada/NU_Nunavut/CAN_NU_Naujaat-Repulse.Bay.AP.710944_TMYx.2009-2023.zip")</f>
        <v>https://climate.onebuilding.org/WMO_Region_4_North_and_Central_America/CAN_Canada/NU_Nunavut/CAN_NU_Naujaat-Repulse.Bay.AP.710944_TMYx.2009-2023.zip</v>
      </c>
    </row>
    <row r="386" spans="1:10" x14ac:dyDescent="0.25">
      <c r="A386" t="s">
        <v>6</v>
      </c>
      <c r="B386" t="s">
        <v>42</v>
      </c>
      <c r="C386" t="s">
        <v>210</v>
      </c>
      <c r="D386">
        <v>710944</v>
      </c>
      <c r="E386" t="s">
        <v>10</v>
      </c>
      <c r="F386">
        <v>66.521000000000001</v>
      </c>
      <c r="G386">
        <v>-86.224999999999994</v>
      </c>
      <c r="H386">
        <v>-6</v>
      </c>
      <c r="I386">
        <v>24.4</v>
      </c>
      <c r="J386" t="str">
        <f>HYPERLINK("https://climate.onebuilding.org/WMO_Region_4_North_and_Central_America/CAN_Canada/NU_Nunavut/CAN_NU_Naujaat-Repulse.Bay.AP.710944_TMYx.zip")</f>
        <v>https://climate.onebuilding.org/WMO_Region_4_North_and_Central_America/CAN_Canada/NU_Nunavut/CAN_NU_Naujaat-Repulse.Bay.AP.710944_TMYx.zip</v>
      </c>
    </row>
    <row r="387" spans="1:10" x14ac:dyDescent="0.25">
      <c r="A387" t="s">
        <v>6</v>
      </c>
      <c r="B387" t="s">
        <v>42</v>
      </c>
      <c r="C387" t="s">
        <v>212</v>
      </c>
      <c r="D387">
        <v>710950</v>
      </c>
      <c r="E387" t="s">
        <v>213</v>
      </c>
      <c r="F387">
        <v>72.689499999999995</v>
      </c>
      <c r="G387">
        <v>-77.968900000000005</v>
      </c>
      <c r="H387">
        <v>-5</v>
      </c>
      <c r="I387">
        <v>61.6</v>
      </c>
      <c r="J387" t="str">
        <f>HYPERLINK("https://climate.onebuilding.org/WMO_Region_4_North_and_Central_America/CAN_Canada/NU_Nunavut/CAN_NU_Pond.Inlet.AP.710950_TMYx.2004-2018.zip")</f>
        <v>https://climate.onebuilding.org/WMO_Region_4_North_and_Central_America/CAN_Canada/NU_Nunavut/CAN_NU_Pond.Inlet.AP.710950_TMYx.2004-2018.zip</v>
      </c>
    </row>
    <row r="388" spans="1:10" x14ac:dyDescent="0.25">
      <c r="A388" t="s">
        <v>6</v>
      </c>
      <c r="B388" t="s">
        <v>42</v>
      </c>
      <c r="C388" t="s">
        <v>212</v>
      </c>
      <c r="D388">
        <v>710950</v>
      </c>
      <c r="E388" t="s">
        <v>10</v>
      </c>
      <c r="F388">
        <v>72.692999999999998</v>
      </c>
      <c r="G388">
        <v>-77.956999999999994</v>
      </c>
      <c r="H388">
        <v>-5</v>
      </c>
      <c r="I388">
        <v>61.6</v>
      </c>
      <c r="J388" t="str">
        <f>HYPERLINK("https://climate.onebuilding.org/WMO_Region_4_North_and_Central_America/CAN_Canada/NU_Nunavut/CAN_NU_Pond.Inlet.AP.710950_TMYx.2007-2021.zip")</f>
        <v>https://climate.onebuilding.org/WMO_Region_4_North_and_Central_America/CAN_Canada/NU_Nunavut/CAN_NU_Pond.Inlet.AP.710950_TMYx.2007-2021.zip</v>
      </c>
    </row>
    <row r="389" spans="1:10" x14ac:dyDescent="0.25">
      <c r="A389" t="s">
        <v>6</v>
      </c>
      <c r="B389" t="s">
        <v>42</v>
      </c>
      <c r="C389" t="s">
        <v>212</v>
      </c>
      <c r="D389">
        <v>710950</v>
      </c>
      <c r="E389" t="s">
        <v>10</v>
      </c>
      <c r="F389">
        <v>72.692999999999998</v>
      </c>
      <c r="G389">
        <v>-77.956999999999994</v>
      </c>
      <c r="H389">
        <v>-5</v>
      </c>
      <c r="I389">
        <v>61.6</v>
      </c>
      <c r="J389" t="str">
        <f>HYPERLINK("https://climate.onebuilding.org/WMO_Region_4_North_and_Central_America/CAN_Canada/NU_Nunavut/CAN_NU_Pond.Inlet.AP.710950_TMYx.2009-2023.zip")</f>
        <v>https://climate.onebuilding.org/WMO_Region_4_North_and_Central_America/CAN_Canada/NU_Nunavut/CAN_NU_Pond.Inlet.AP.710950_TMYx.2009-2023.zip</v>
      </c>
    </row>
    <row r="390" spans="1:10" x14ac:dyDescent="0.25">
      <c r="A390" t="s">
        <v>6</v>
      </c>
      <c r="B390" t="s">
        <v>42</v>
      </c>
      <c r="C390" t="s">
        <v>212</v>
      </c>
      <c r="D390">
        <v>710950</v>
      </c>
      <c r="E390" t="s">
        <v>10</v>
      </c>
      <c r="F390">
        <v>72.692999999999998</v>
      </c>
      <c r="G390">
        <v>-77.956999999999994</v>
      </c>
      <c r="H390">
        <v>-5</v>
      </c>
      <c r="I390">
        <v>61.6</v>
      </c>
      <c r="J390" t="str">
        <f>HYPERLINK("https://climate.onebuilding.org/WMO_Region_4_North_and_Central_America/CAN_Canada/NU_Nunavut/CAN_NU_Pond.Inlet.AP.710950_TMYx.zip")</f>
        <v>https://climate.onebuilding.org/WMO_Region_4_North_and_Central_America/CAN_Canada/NU_Nunavut/CAN_NU_Pond.Inlet.AP.710950_TMYx.zip</v>
      </c>
    </row>
    <row r="391" spans="1:10" x14ac:dyDescent="0.25">
      <c r="A391" t="s">
        <v>6</v>
      </c>
      <c r="B391" t="s">
        <v>42</v>
      </c>
      <c r="C391" t="s">
        <v>214</v>
      </c>
      <c r="D391">
        <v>710960</v>
      </c>
      <c r="E391" t="s">
        <v>215</v>
      </c>
      <c r="F391">
        <v>67.535600000000002</v>
      </c>
      <c r="G391">
        <v>-63.788899999999998</v>
      </c>
      <c r="H391">
        <v>-5</v>
      </c>
      <c r="I391">
        <v>584.4</v>
      </c>
      <c r="J391" t="str">
        <f>HYPERLINK("https://climate.onebuilding.org/WMO_Region_4_North_and_Central_America/CAN_Canada/NU_Nunavut/CAN_NU_Broughton.Island.710960_TMYx.2004-2018.zip")</f>
        <v>https://climate.onebuilding.org/WMO_Region_4_North_and_Central_America/CAN_Canada/NU_Nunavut/CAN_NU_Broughton.Island.710960_TMYx.2004-2018.zip</v>
      </c>
    </row>
    <row r="392" spans="1:10" x14ac:dyDescent="0.25">
      <c r="A392" t="s">
        <v>6</v>
      </c>
      <c r="B392" t="s">
        <v>42</v>
      </c>
      <c r="C392" t="s">
        <v>214</v>
      </c>
      <c r="D392">
        <v>710960</v>
      </c>
      <c r="E392" t="s">
        <v>10</v>
      </c>
      <c r="F392">
        <v>67.535600000000002</v>
      </c>
      <c r="G392">
        <v>-63.788899999999998</v>
      </c>
      <c r="H392">
        <v>-5</v>
      </c>
      <c r="I392">
        <v>584.4</v>
      </c>
      <c r="J392" t="str">
        <f>HYPERLINK("https://climate.onebuilding.org/WMO_Region_4_North_and_Central_America/CAN_Canada/NU_Nunavut/CAN_NU_Broughton.Island.710960_TMYx.2007-2021.zip")</f>
        <v>https://climate.onebuilding.org/WMO_Region_4_North_and_Central_America/CAN_Canada/NU_Nunavut/CAN_NU_Broughton.Island.710960_TMYx.2007-2021.zip</v>
      </c>
    </row>
    <row r="393" spans="1:10" x14ac:dyDescent="0.25">
      <c r="A393" t="s">
        <v>6</v>
      </c>
      <c r="B393" t="s">
        <v>42</v>
      </c>
      <c r="C393" t="s">
        <v>214</v>
      </c>
      <c r="D393">
        <v>710960</v>
      </c>
      <c r="E393" t="s">
        <v>10</v>
      </c>
      <c r="F393">
        <v>67.535600000000002</v>
      </c>
      <c r="G393">
        <v>-63.788899999999998</v>
      </c>
      <c r="H393">
        <v>-5</v>
      </c>
      <c r="I393">
        <v>584.4</v>
      </c>
      <c r="J393" t="str">
        <f>HYPERLINK("https://climate.onebuilding.org/WMO_Region_4_North_and_Central_America/CAN_Canada/NU_Nunavut/CAN_NU_Broughton.Island.710960_TMYx.2009-2023.zip")</f>
        <v>https://climate.onebuilding.org/WMO_Region_4_North_and_Central_America/CAN_Canada/NU_Nunavut/CAN_NU_Broughton.Island.710960_TMYx.2009-2023.zip</v>
      </c>
    </row>
    <row r="394" spans="1:10" x14ac:dyDescent="0.25">
      <c r="A394" t="s">
        <v>6</v>
      </c>
      <c r="B394" t="s">
        <v>42</v>
      </c>
      <c r="C394" t="s">
        <v>214</v>
      </c>
      <c r="D394">
        <v>710960</v>
      </c>
      <c r="E394" t="s">
        <v>10</v>
      </c>
      <c r="F394">
        <v>67.535600000000002</v>
      </c>
      <c r="G394">
        <v>-63.788899999999998</v>
      </c>
      <c r="H394">
        <v>-5</v>
      </c>
      <c r="I394">
        <v>584.4</v>
      </c>
      <c r="J394" t="str">
        <f>HYPERLINK("https://climate.onebuilding.org/WMO_Region_4_North_and_Central_America/CAN_Canada/NU_Nunavut/CAN_NU_Broughton.Island.710960_TMYx.zip")</f>
        <v>https://climate.onebuilding.org/WMO_Region_4_North_and_Central_America/CAN_Canada/NU_Nunavut/CAN_NU_Broughton.Island.710960_TMYx.zip</v>
      </c>
    </row>
    <row r="395" spans="1:10" x14ac:dyDescent="0.25">
      <c r="A395" t="s">
        <v>6</v>
      </c>
      <c r="B395" t="s">
        <v>42</v>
      </c>
      <c r="C395" t="s">
        <v>216</v>
      </c>
      <c r="D395">
        <v>710970</v>
      </c>
      <c r="E395" t="s">
        <v>217</v>
      </c>
      <c r="F395">
        <v>63.339700000000001</v>
      </c>
      <c r="G395">
        <v>-64.145799999999994</v>
      </c>
      <c r="H395">
        <v>-5</v>
      </c>
      <c r="I395">
        <v>376</v>
      </c>
      <c r="J395" t="str">
        <f>HYPERLINK("https://climate.onebuilding.org/WMO_Region_4_North_and_Central_America/CAN_Canada/NU_Nunavut/CAN_NU_Brevoort.Island.710970_TMYx.2004-2018.zip")</f>
        <v>https://climate.onebuilding.org/WMO_Region_4_North_and_Central_America/CAN_Canada/NU_Nunavut/CAN_NU_Brevoort.Island.710970_TMYx.2004-2018.zip</v>
      </c>
    </row>
    <row r="396" spans="1:10" x14ac:dyDescent="0.25">
      <c r="A396" t="s">
        <v>6</v>
      </c>
      <c r="B396" t="s">
        <v>42</v>
      </c>
      <c r="C396" t="s">
        <v>216</v>
      </c>
      <c r="D396">
        <v>710970</v>
      </c>
      <c r="E396" t="s">
        <v>10</v>
      </c>
      <c r="F396">
        <v>63.339700000000001</v>
      </c>
      <c r="G396">
        <v>-64.145799999999994</v>
      </c>
      <c r="H396">
        <v>-5</v>
      </c>
      <c r="I396">
        <v>376</v>
      </c>
      <c r="J396" t="str">
        <f>HYPERLINK("https://climate.onebuilding.org/WMO_Region_4_North_and_Central_America/CAN_Canada/NU_Nunavut/CAN_NU_Brevoort.Island.710970_TMYx.2007-2021.zip")</f>
        <v>https://climate.onebuilding.org/WMO_Region_4_North_and_Central_America/CAN_Canada/NU_Nunavut/CAN_NU_Brevoort.Island.710970_TMYx.2007-2021.zip</v>
      </c>
    </row>
    <row r="397" spans="1:10" x14ac:dyDescent="0.25">
      <c r="A397" t="s">
        <v>6</v>
      </c>
      <c r="B397" t="s">
        <v>42</v>
      </c>
      <c r="C397" t="s">
        <v>216</v>
      </c>
      <c r="D397">
        <v>710970</v>
      </c>
      <c r="E397" t="s">
        <v>10</v>
      </c>
      <c r="F397">
        <v>63.339700000000001</v>
      </c>
      <c r="G397">
        <v>-64.145799999999994</v>
      </c>
      <c r="H397">
        <v>-5</v>
      </c>
      <c r="I397">
        <v>376</v>
      </c>
      <c r="J397" t="str">
        <f>HYPERLINK("https://climate.onebuilding.org/WMO_Region_4_North_and_Central_America/CAN_Canada/NU_Nunavut/CAN_NU_Brevoort.Island.710970_TMYx.2009-2023.zip")</f>
        <v>https://climate.onebuilding.org/WMO_Region_4_North_and_Central_America/CAN_Canada/NU_Nunavut/CAN_NU_Brevoort.Island.710970_TMYx.2009-2023.zip</v>
      </c>
    </row>
    <row r="398" spans="1:10" x14ac:dyDescent="0.25">
      <c r="A398" t="s">
        <v>6</v>
      </c>
      <c r="B398" t="s">
        <v>42</v>
      </c>
      <c r="C398" t="s">
        <v>216</v>
      </c>
      <c r="D398">
        <v>710970</v>
      </c>
      <c r="E398" t="s">
        <v>10</v>
      </c>
      <c r="F398">
        <v>63.339700000000001</v>
      </c>
      <c r="G398">
        <v>-64.145799999999994</v>
      </c>
      <c r="H398">
        <v>-5</v>
      </c>
      <c r="I398">
        <v>376</v>
      </c>
      <c r="J398" t="str">
        <f>HYPERLINK("https://climate.onebuilding.org/WMO_Region_4_North_and_Central_America/CAN_Canada/NU_Nunavut/CAN_NU_Brevoort.Island.710970_TMYx.zip")</f>
        <v>https://climate.onebuilding.org/WMO_Region_4_North_and_Central_America/CAN_Canada/NU_Nunavut/CAN_NU_Brevoort.Island.710970_TMYx.zip</v>
      </c>
    </row>
    <row r="399" spans="1:10" x14ac:dyDescent="0.25">
      <c r="A399" t="s">
        <v>6</v>
      </c>
      <c r="B399" t="s">
        <v>130</v>
      </c>
      <c r="C399" t="s">
        <v>218</v>
      </c>
      <c r="D399">
        <v>710990</v>
      </c>
      <c r="E399" t="s">
        <v>219</v>
      </c>
      <c r="F399">
        <v>56.018900000000002</v>
      </c>
      <c r="G399">
        <v>-87.676100000000005</v>
      </c>
      <c r="H399">
        <v>-5</v>
      </c>
      <c r="I399">
        <v>15.8</v>
      </c>
      <c r="J399" t="str">
        <f>HYPERLINK("https://climate.onebuilding.org/WMO_Region_4_North_and_Central_America/CAN_Canada/ON_Ontario/CAN_ON_Fort.Severn.AP.710990_TMYx.2004-2018.zip")</f>
        <v>https://climate.onebuilding.org/WMO_Region_4_North_and_Central_America/CAN_Canada/ON_Ontario/CAN_ON_Fort.Severn.AP.710990_TMYx.2004-2018.zip</v>
      </c>
    </row>
    <row r="400" spans="1:10" x14ac:dyDescent="0.25">
      <c r="A400" t="s">
        <v>6</v>
      </c>
      <c r="B400" t="s">
        <v>130</v>
      </c>
      <c r="C400" t="s">
        <v>218</v>
      </c>
      <c r="D400">
        <v>710990</v>
      </c>
      <c r="E400" t="s">
        <v>10</v>
      </c>
      <c r="F400">
        <v>56.018900000000002</v>
      </c>
      <c r="G400">
        <v>-87.676100000000005</v>
      </c>
      <c r="H400">
        <v>-5</v>
      </c>
      <c r="I400">
        <v>15.8</v>
      </c>
      <c r="J400" t="str">
        <f>HYPERLINK("https://climate.onebuilding.org/WMO_Region_4_North_and_Central_America/CAN_Canada/ON_Ontario/CAN_ON_Fort.Severn.AP.710990_TMYx.2007-2021.zip")</f>
        <v>https://climate.onebuilding.org/WMO_Region_4_North_and_Central_America/CAN_Canada/ON_Ontario/CAN_ON_Fort.Severn.AP.710990_TMYx.2007-2021.zip</v>
      </c>
    </row>
    <row r="401" spans="1:10" x14ac:dyDescent="0.25">
      <c r="A401" t="s">
        <v>6</v>
      </c>
      <c r="B401" t="s">
        <v>130</v>
      </c>
      <c r="C401" t="s">
        <v>218</v>
      </c>
      <c r="D401">
        <v>710990</v>
      </c>
      <c r="E401" t="s">
        <v>10</v>
      </c>
      <c r="F401">
        <v>56.018900000000002</v>
      </c>
      <c r="G401">
        <v>-87.676100000000005</v>
      </c>
      <c r="H401">
        <v>-5</v>
      </c>
      <c r="I401">
        <v>15.8</v>
      </c>
      <c r="J401" t="str">
        <f>HYPERLINK("https://climate.onebuilding.org/WMO_Region_4_North_and_Central_America/CAN_Canada/ON_Ontario/CAN_ON_Fort.Severn.AP.710990_TMYx.2009-2023.zip")</f>
        <v>https://climate.onebuilding.org/WMO_Region_4_North_and_Central_America/CAN_Canada/ON_Ontario/CAN_ON_Fort.Severn.AP.710990_TMYx.2009-2023.zip</v>
      </c>
    </row>
    <row r="402" spans="1:10" x14ac:dyDescent="0.25">
      <c r="A402" t="s">
        <v>6</v>
      </c>
      <c r="B402" t="s">
        <v>130</v>
      </c>
      <c r="C402" t="s">
        <v>218</v>
      </c>
      <c r="D402">
        <v>710990</v>
      </c>
      <c r="E402" t="s">
        <v>10</v>
      </c>
      <c r="F402">
        <v>56.018900000000002</v>
      </c>
      <c r="G402">
        <v>-87.676100000000005</v>
      </c>
      <c r="H402">
        <v>-5</v>
      </c>
      <c r="I402">
        <v>15.8</v>
      </c>
      <c r="J402" t="str">
        <f>HYPERLINK("https://climate.onebuilding.org/WMO_Region_4_North_and_Central_America/CAN_Canada/ON_Ontario/CAN_ON_Fort.Severn.AP.710990_TMYx.zip")</f>
        <v>https://climate.onebuilding.org/WMO_Region_4_North_and_Central_America/CAN_Canada/ON_Ontario/CAN_ON_Fort.Severn.AP.710990_TMYx.zip</v>
      </c>
    </row>
    <row r="403" spans="1:10" x14ac:dyDescent="0.25">
      <c r="A403" t="s">
        <v>6</v>
      </c>
      <c r="B403" t="s">
        <v>55</v>
      </c>
      <c r="C403" t="s">
        <v>220</v>
      </c>
      <c r="D403">
        <v>711000</v>
      </c>
      <c r="E403" t="s">
        <v>10</v>
      </c>
      <c r="F403">
        <v>54.295000000000002</v>
      </c>
      <c r="G403">
        <v>-130.881</v>
      </c>
      <c r="H403">
        <v>-8</v>
      </c>
      <c r="I403">
        <v>21</v>
      </c>
      <c r="J403" t="str">
        <f>HYPERLINK("https://climate.onebuilding.org/WMO_Region_4_North_and_Central_America/CAN_Canada/BC_British_Columbia/CAN_BC_Triple.Island.Lightstation.711000_TMYx.zip")</f>
        <v>https://climate.onebuilding.org/WMO_Region_4_North_and_Central_America/CAN_Canada/BC_British_Columbia/CAN_BC_Triple.Island.Lightstation.711000_TMYx.zip</v>
      </c>
    </row>
    <row r="404" spans="1:10" x14ac:dyDescent="0.25">
      <c r="A404" t="s">
        <v>6</v>
      </c>
      <c r="B404" t="s">
        <v>17</v>
      </c>
      <c r="C404" t="s">
        <v>221</v>
      </c>
      <c r="D404">
        <v>711020</v>
      </c>
      <c r="E404" t="s">
        <v>222</v>
      </c>
      <c r="F404">
        <v>53.018900000000002</v>
      </c>
      <c r="G404">
        <v>-110.1019</v>
      </c>
      <c r="H404">
        <v>-7</v>
      </c>
      <c r="I404">
        <v>669</v>
      </c>
      <c r="J404" t="str">
        <f>HYPERLINK("https://climate.onebuilding.org/WMO_Region_4_North_and_Central_America/CAN_Canada/AB_Alberta/CAN_AB_Rivercourse.AgCM.711020_TMYx.2004-2018.zip")</f>
        <v>https://climate.onebuilding.org/WMO_Region_4_North_and_Central_America/CAN_Canada/AB_Alberta/CAN_AB_Rivercourse.AgCM.711020_TMYx.2004-2018.zip</v>
      </c>
    </row>
    <row r="405" spans="1:10" x14ac:dyDescent="0.25">
      <c r="A405" t="s">
        <v>6</v>
      </c>
      <c r="B405" t="s">
        <v>17</v>
      </c>
      <c r="C405" t="s">
        <v>221</v>
      </c>
      <c r="D405">
        <v>711020</v>
      </c>
      <c r="E405" t="s">
        <v>10</v>
      </c>
      <c r="F405">
        <v>53.018900000000002</v>
      </c>
      <c r="G405">
        <v>-110.1019</v>
      </c>
      <c r="H405">
        <v>-7</v>
      </c>
      <c r="I405">
        <v>669</v>
      </c>
      <c r="J405" t="str">
        <f>HYPERLINK("https://climate.onebuilding.org/WMO_Region_4_North_and_Central_America/CAN_Canada/AB_Alberta/CAN_AB_Rivercourse.AgCM.711020_TMYx.2007-2021.zip")</f>
        <v>https://climate.onebuilding.org/WMO_Region_4_North_and_Central_America/CAN_Canada/AB_Alberta/CAN_AB_Rivercourse.AgCM.711020_TMYx.2007-2021.zip</v>
      </c>
    </row>
    <row r="406" spans="1:10" x14ac:dyDescent="0.25">
      <c r="A406" t="s">
        <v>6</v>
      </c>
      <c r="B406" t="s">
        <v>17</v>
      </c>
      <c r="C406" t="s">
        <v>221</v>
      </c>
      <c r="D406">
        <v>711020</v>
      </c>
      <c r="E406" t="s">
        <v>10</v>
      </c>
      <c r="F406">
        <v>53.018900000000002</v>
      </c>
      <c r="G406">
        <v>-110.1019</v>
      </c>
      <c r="H406">
        <v>-7</v>
      </c>
      <c r="I406">
        <v>669</v>
      </c>
      <c r="J406" t="str">
        <f>HYPERLINK("https://climate.onebuilding.org/WMO_Region_4_North_and_Central_America/CAN_Canada/AB_Alberta/CAN_AB_Rivercourse.AgCM.711020_TMYx.2009-2023.zip")</f>
        <v>https://climate.onebuilding.org/WMO_Region_4_North_and_Central_America/CAN_Canada/AB_Alberta/CAN_AB_Rivercourse.AgCM.711020_TMYx.2009-2023.zip</v>
      </c>
    </row>
    <row r="407" spans="1:10" x14ac:dyDescent="0.25">
      <c r="A407" t="s">
        <v>6</v>
      </c>
      <c r="B407" t="s">
        <v>17</v>
      </c>
      <c r="C407" t="s">
        <v>221</v>
      </c>
      <c r="D407">
        <v>711020</v>
      </c>
      <c r="E407" t="s">
        <v>10</v>
      </c>
      <c r="F407">
        <v>53.018900000000002</v>
      </c>
      <c r="G407">
        <v>-110.1019</v>
      </c>
      <c r="H407">
        <v>-7</v>
      </c>
      <c r="I407">
        <v>669</v>
      </c>
      <c r="J407" t="str">
        <f>HYPERLINK("https://climate.onebuilding.org/WMO_Region_4_North_and_Central_America/CAN_Canada/AB_Alberta/CAN_AB_Rivercourse.AgCM.711020_TMYx.zip")</f>
        <v>https://climate.onebuilding.org/WMO_Region_4_North_and_Central_America/CAN_Canada/AB_Alberta/CAN_AB_Rivercourse.AgCM.711020_TMYx.zip</v>
      </c>
    </row>
    <row r="408" spans="1:10" x14ac:dyDescent="0.25">
      <c r="A408" t="s">
        <v>6</v>
      </c>
      <c r="B408" t="s">
        <v>55</v>
      </c>
      <c r="C408" t="s">
        <v>223</v>
      </c>
      <c r="D408">
        <v>711030</v>
      </c>
      <c r="E408" t="s">
        <v>224</v>
      </c>
      <c r="F408">
        <v>53.0261</v>
      </c>
      <c r="G408">
        <v>-122.51</v>
      </c>
      <c r="H408">
        <v>-8</v>
      </c>
      <c r="I408">
        <v>545</v>
      </c>
      <c r="J408" t="str">
        <f>HYPERLINK("https://climate.onebuilding.org/WMO_Region_4_North_and_Central_America/CAN_Canada/BC_British_Columbia/CAN_BC_Quesnel.AWOS.711030_TMYx.2004-2018.zip")</f>
        <v>https://climate.onebuilding.org/WMO_Region_4_North_and_Central_America/CAN_Canada/BC_British_Columbia/CAN_BC_Quesnel.AWOS.711030_TMYx.2004-2018.zip</v>
      </c>
    </row>
    <row r="409" spans="1:10" x14ac:dyDescent="0.25">
      <c r="A409" t="s">
        <v>6</v>
      </c>
      <c r="B409" t="s">
        <v>55</v>
      </c>
      <c r="C409" t="s">
        <v>223</v>
      </c>
      <c r="D409">
        <v>711030</v>
      </c>
      <c r="E409" t="s">
        <v>10</v>
      </c>
      <c r="F409">
        <v>53.0261</v>
      </c>
      <c r="G409">
        <v>-122.51</v>
      </c>
      <c r="H409">
        <v>-8</v>
      </c>
      <c r="I409">
        <v>545</v>
      </c>
      <c r="J409" t="str">
        <f>HYPERLINK("https://climate.onebuilding.org/WMO_Region_4_North_and_Central_America/CAN_Canada/BC_British_Columbia/CAN_BC_Quesnel.AWOS.711030_TMYx.2007-2021.zip")</f>
        <v>https://climate.onebuilding.org/WMO_Region_4_North_and_Central_America/CAN_Canada/BC_British_Columbia/CAN_BC_Quesnel.AWOS.711030_TMYx.2007-2021.zip</v>
      </c>
    </row>
    <row r="410" spans="1:10" x14ac:dyDescent="0.25">
      <c r="A410" t="s">
        <v>6</v>
      </c>
      <c r="B410" t="s">
        <v>55</v>
      </c>
      <c r="C410" t="s">
        <v>223</v>
      </c>
      <c r="D410">
        <v>711030</v>
      </c>
      <c r="E410" t="s">
        <v>10</v>
      </c>
      <c r="F410">
        <v>53.0261</v>
      </c>
      <c r="G410">
        <v>-122.51</v>
      </c>
      <c r="H410">
        <v>-8</v>
      </c>
      <c r="I410">
        <v>545</v>
      </c>
      <c r="J410" t="str">
        <f>HYPERLINK("https://climate.onebuilding.org/WMO_Region_4_North_and_Central_America/CAN_Canada/BC_British_Columbia/CAN_BC_Quesnel.AWOS.711030_TMYx.2009-2023.zip")</f>
        <v>https://climate.onebuilding.org/WMO_Region_4_North_and_Central_America/CAN_Canada/BC_British_Columbia/CAN_BC_Quesnel.AWOS.711030_TMYx.2009-2023.zip</v>
      </c>
    </row>
    <row r="411" spans="1:10" x14ac:dyDescent="0.25">
      <c r="A411" t="s">
        <v>6</v>
      </c>
      <c r="B411" t="s">
        <v>55</v>
      </c>
      <c r="C411" t="s">
        <v>223</v>
      </c>
      <c r="D411">
        <v>711030</v>
      </c>
      <c r="E411" t="s">
        <v>10</v>
      </c>
      <c r="F411">
        <v>53.0261</v>
      </c>
      <c r="G411">
        <v>-122.51</v>
      </c>
      <c r="H411">
        <v>-8</v>
      </c>
      <c r="I411">
        <v>545</v>
      </c>
      <c r="J411" t="str">
        <f>HYPERLINK("https://climate.onebuilding.org/WMO_Region_4_North_and_Central_America/CAN_Canada/BC_British_Columbia/CAN_BC_Quesnel.AWOS.711030_TMYx.zip")</f>
        <v>https://climate.onebuilding.org/WMO_Region_4_North_and_Central_America/CAN_Canada/BC_British_Columbia/CAN_BC_Quesnel.AWOS.711030_TMYx.zip</v>
      </c>
    </row>
    <row r="412" spans="1:10" x14ac:dyDescent="0.25">
      <c r="A412" t="s">
        <v>6</v>
      </c>
      <c r="B412" t="s">
        <v>55</v>
      </c>
      <c r="C412" t="s">
        <v>225</v>
      </c>
      <c r="D412">
        <v>711040</v>
      </c>
      <c r="E412" t="s">
        <v>226</v>
      </c>
      <c r="F412">
        <v>52.183100000000003</v>
      </c>
      <c r="G412">
        <v>-122.05419999999999</v>
      </c>
      <c r="H412">
        <v>-8</v>
      </c>
      <c r="I412">
        <v>939.7</v>
      </c>
      <c r="J412" t="str">
        <f>HYPERLINK("https://climate.onebuilding.org/WMO_Region_4_North_and_Central_America/CAN_Canada/BC_British_Columbia/CAN_BC_Williams.Lake.Rgnl.AP.711040_TMYx.2004-2018.zip")</f>
        <v>https://climate.onebuilding.org/WMO_Region_4_North_and_Central_America/CAN_Canada/BC_British_Columbia/CAN_BC_Williams.Lake.Rgnl.AP.711040_TMYx.2004-2018.zip</v>
      </c>
    </row>
    <row r="413" spans="1:10" x14ac:dyDescent="0.25">
      <c r="A413" t="s">
        <v>6</v>
      </c>
      <c r="B413" t="s">
        <v>55</v>
      </c>
      <c r="C413" t="s">
        <v>225</v>
      </c>
      <c r="D413">
        <v>711040</v>
      </c>
      <c r="E413" t="s">
        <v>10</v>
      </c>
      <c r="F413">
        <v>52.186199999999999</v>
      </c>
      <c r="G413">
        <v>-122.0656</v>
      </c>
      <c r="H413">
        <v>-8</v>
      </c>
      <c r="I413">
        <v>939.7</v>
      </c>
      <c r="J413" t="str">
        <f>HYPERLINK("https://climate.onebuilding.org/WMO_Region_4_North_and_Central_America/CAN_Canada/BC_British_Columbia/CAN_BC_Williams.Lake.Rgnl.AP.711040_TMYx.2007-2021.zip")</f>
        <v>https://climate.onebuilding.org/WMO_Region_4_North_and_Central_America/CAN_Canada/BC_British_Columbia/CAN_BC_Williams.Lake.Rgnl.AP.711040_TMYx.2007-2021.zip</v>
      </c>
    </row>
    <row r="414" spans="1:10" x14ac:dyDescent="0.25">
      <c r="A414" t="s">
        <v>6</v>
      </c>
      <c r="B414" t="s">
        <v>55</v>
      </c>
      <c r="C414" t="s">
        <v>225</v>
      </c>
      <c r="D414">
        <v>711040</v>
      </c>
      <c r="E414" t="s">
        <v>10</v>
      </c>
      <c r="F414">
        <v>52.186199999999999</v>
      </c>
      <c r="G414">
        <v>-122.0656</v>
      </c>
      <c r="H414">
        <v>-8</v>
      </c>
      <c r="I414">
        <v>939.7</v>
      </c>
      <c r="J414" t="str">
        <f>HYPERLINK("https://climate.onebuilding.org/WMO_Region_4_North_and_Central_America/CAN_Canada/BC_British_Columbia/CAN_BC_Williams.Lake.Rgnl.AP.711040_TMYx.2009-2023.zip")</f>
        <v>https://climate.onebuilding.org/WMO_Region_4_North_and_Central_America/CAN_Canada/BC_British_Columbia/CAN_BC_Williams.Lake.Rgnl.AP.711040_TMYx.2009-2023.zip</v>
      </c>
    </row>
    <row r="415" spans="1:10" x14ac:dyDescent="0.25">
      <c r="A415" t="s">
        <v>6</v>
      </c>
      <c r="B415" t="s">
        <v>55</v>
      </c>
      <c r="C415" t="s">
        <v>225</v>
      </c>
      <c r="D415">
        <v>711040</v>
      </c>
      <c r="E415" t="s">
        <v>10</v>
      </c>
      <c r="F415">
        <v>52.186199999999999</v>
      </c>
      <c r="G415">
        <v>-122.0656</v>
      </c>
      <c r="H415">
        <v>-8</v>
      </c>
      <c r="I415">
        <v>939.7</v>
      </c>
      <c r="J415" t="str">
        <f>HYPERLINK("https://climate.onebuilding.org/WMO_Region_4_North_and_Central_America/CAN_Canada/BC_British_Columbia/CAN_BC_Williams.Lake.Rgnl.AP.711040_TMYx.zip")</f>
        <v>https://climate.onebuilding.org/WMO_Region_4_North_and_Central_America/CAN_Canada/BC_British_Columbia/CAN_BC_Williams.Lake.Rgnl.AP.711040_TMYx.zip</v>
      </c>
    </row>
    <row r="416" spans="1:10" x14ac:dyDescent="0.25">
      <c r="A416" t="s">
        <v>6</v>
      </c>
      <c r="B416" t="s">
        <v>17</v>
      </c>
      <c r="C416" t="s">
        <v>227</v>
      </c>
      <c r="D416">
        <v>711050</v>
      </c>
      <c r="E416" t="s">
        <v>228</v>
      </c>
      <c r="F416">
        <v>50.25</v>
      </c>
      <c r="G416">
        <v>-111.7</v>
      </c>
      <c r="H416">
        <v>-7</v>
      </c>
      <c r="I416">
        <v>645</v>
      </c>
      <c r="J416" t="str">
        <f>HYPERLINK("https://climate.onebuilding.org/WMO_Region_4_North_and_Central_America/CAN_Canada/AB_Alberta/CAN_AB_Rolling.Hills.AgCM.711050_TMYx.2004-2018.zip")</f>
        <v>https://climate.onebuilding.org/WMO_Region_4_North_and_Central_America/CAN_Canada/AB_Alberta/CAN_AB_Rolling.Hills.AgCM.711050_TMYx.2004-2018.zip</v>
      </c>
    </row>
    <row r="417" spans="1:10" x14ac:dyDescent="0.25">
      <c r="A417" t="s">
        <v>6</v>
      </c>
      <c r="B417" t="s">
        <v>17</v>
      </c>
      <c r="C417" t="s">
        <v>227</v>
      </c>
      <c r="D417">
        <v>711050</v>
      </c>
      <c r="E417" t="s">
        <v>10</v>
      </c>
      <c r="F417">
        <v>50.265000000000001</v>
      </c>
      <c r="G417">
        <v>-111.7011</v>
      </c>
      <c r="H417">
        <v>-7</v>
      </c>
      <c r="I417">
        <v>645</v>
      </c>
      <c r="J417" t="str">
        <f>HYPERLINK("https://climate.onebuilding.org/WMO_Region_4_North_and_Central_America/CAN_Canada/AB_Alberta/CAN_AB_Rolling.Hills.AgCM.711050_TMYx.2007-2021.zip")</f>
        <v>https://climate.onebuilding.org/WMO_Region_4_North_and_Central_America/CAN_Canada/AB_Alberta/CAN_AB_Rolling.Hills.AgCM.711050_TMYx.2007-2021.zip</v>
      </c>
    </row>
    <row r="418" spans="1:10" x14ac:dyDescent="0.25">
      <c r="A418" t="s">
        <v>6</v>
      </c>
      <c r="B418" t="s">
        <v>17</v>
      </c>
      <c r="C418" t="s">
        <v>227</v>
      </c>
      <c r="D418">
        <v>711050</v>
      </c>
      <c r="E418" t="s">
        <v>10</v>
      </c>
      <c r="F418">
        <v>50.265000000000001</v>
      </c>
      <c r="G418">
        <v>-111.7011</v>
      </c>
      <c r="H418">
        <v>-7</v>
      </c>
      <c r="I418">
        <v>645</v>
      </c>
      <c r="J418" t="str">
        <f>HYPERLINK("https://climate.onebuilding.org/WMO_Region_4_North_and_Central_America/CAN_Canada/AB_Alberta/CAN_AB_Rolling.Hills.AgCM.711050_TMYx.2009-2023.zip")</f>
        <v>https://climate.onebuilding.org/WMO_Region_4_North_and_Central_America/CAN_Canada/AB_Alberta/CAN_AB_Rolling.Hills.AgCM.711050_TMYx.2009-2023.zip</v>
      </c>
    </row>
    <row r="419" spans="1:10" x14ac:dyDescent="0.25">
      <c r="A419" t="s">
        <v>6</v>
      </c>
      <c r="B419" t="s">
        <v>17</v>
      </c>
      <c r="C419" t="s">
        <v>227</v>
      </c>
      <c r="D419">
        <v>711050</v>
      </c>
      <c r="E419" t="s">
        <v>10</v>
      </c>
      <c r="F419">
        <v>50.265000000000001</v>
      </c>
      <c r="G419">
        <v>-111.7011</v>
      </c>
      <c r="H419">
        <v>-7</v>
      </c>
      <c r="I419">
        <v>645</v>
      </c>
      <c r="J419" t="str">
        <f>HYPERLINK("https://climate.onebuilding.org/WMO_Region_4_North_and_Central_America/CAN_Canada/AB_Alberta/CAN_AB_Rolling.Hills.AgCM.711050_TMYx.zip")</f>
        <v>https://climate.onebuilding.org/WMO_Region_4_North_and_Central_America/CAN_Canada/AB_Alberta/CAN_AB_Rolling.Hills.AgCM.711050_TMYx.zip</v>
      </c>
    </row>
    <row r="420" spans="1:10" x14ac:dyDescent="0.25">
      <c r="A420" t="s">
        <v>6</v>
      </c>
      <c r="B420" t="s">
        <v>55</v>
      </c>
      <c r="C420" t="s">
        <v>229</v>
      </c>
      <c r="D420">
        <v>711060</v>
      </c>
      <c r="E420" t="s">
        <v>230</v>
      </c>
      <c r="F420">
        <v>49.082000000000001</v>
      </c>
      <c r="G420">
        <v>-125.773</v>
      </c>
      <c r="H420">
        <v>-8</v>
      </c>
      <c r="I420">
        <v>24.4</v>
      </c>
      <c r="J420" t="str">
        <f>HYPERLINK("https://climate.onebuilding.org/WMO_Region_4_North_and_Central_America/CAN_Canada/BC_British_Columbia/CAN_BC_Tofino-Long.Beach.AP.711060_TMYx.2004-2018.zip")</f>
        <v>https://climate.onebuilding.org/WMO_Region_4_North_and_Central_America/CAN_Canada/BC_British_Columbia/CAN_BC_Tofino-Long.Beach.AP.711060_TMYx.2004-2018.zip</v>
      </c>
    </row>
    <row r="421" spans="1:10" x14ac:dyDescent="0.25">
      <c r="A421" t="s">
        <v>6</v>
      </c>
      <c r="B421" t="s">
        <v>55</v>
      </c>
      <c r="C421" t="s">
        <v>229</v>
      </c>
      <c r="D421">
        <v>711060</v>
      </c>
      <c r="E421" t="s">
        <v>10</v>
      </c>
      <c r="F421">
        <v>49.082000000000001</v>
      </c>
      <c r="G421">
        <v>-125.773</v>
      </c>
      <c r="H421">
        <v>-8</v>
      </c>
      <c r="I421">
        <v>24.4</v>
      </c>
      <c r="J421" t="str">
        <f>HYPERLINK("https://climate.onebuilding.org/WMO_Region_4_North_and_Central_America/CAN_Canada/BC_British_Columbia/CAN_BC_Tofino-Long.Beach.AP.711060_TMYx.2007-2021.zip")</f>
        <v>https://climate.onebuilding.org/WMO_Region_4_North_and_Central_America/CAN_Canada/BC_British_Columbia/CAN_BC_Tofino-Long.Beach.AP.711060_TMYx.2007-2021.zip</v>
      </c>
    </row>
    <row r="422" spans="1:10" x14ac:dyDescent="0.25">
      <c r="A422" t="s">
        <v>6</v>
      </c>
      <c r="B422" t="s">
        <v>55</v>
      </c>
      <c r="C422" t="s">
        <v>229</v>
      </c>
      <c r="D422">
        <v>711060</v>
      </c>
      <c r="E422" t="s">
        <v>10</v>
      </c>
      <c r="F422">
        <v>49.082000000000001</v>
      </c>
      <c r="G422">
        <v>-125.773</v>
      </c>
      <c r="H422">
        <v>-8</v>
      </c>
      <c r="I422">
        <v>24.4</v>
      </c>
      <c r="J422" t="str">
        <f>HYPERLINK("https://climate.onebuilding.org/WMO_Region_4_North_and_Central_America/CAN_Canada/BC_British_Columbia/CAN_BC_Tofino-Long.Beach.AP.711060_TMYx.2009-2023.zip")</f>
        <v>https://climate.onebuilding.org/WMO_Region_4_North_and_Central_America/CAN_Canada/BC_British_Columbia/CAN_BC_Tofino-Long.Beach.AP.711060_TMYx.2009-2023.zip</v>
      </c>
    </row>
    <row r="423" spans="1:10" x14ac:dyDescent="0.25">
      <c r="A423" t="s">
        <v>6</v>
      </c>
      <c r="B423" t="s">
        <v>55</v>
      </c>
      <c r="C423" t="s">
        <v>229</v>
      </c>
      <c r="D423">
        <v>711060</v>
      </c>
      <c r="E423" t="s">
        <v>10</v>
      </c>
      <c r="F423">
        <v>49.082000000000001</v>
      </c>
      <c r="G423">
        <v>-125.773</v>
      </c>
      <c r="H423">
        <v>-8</v>
      </c>
      <c r="I423">
        <v>24.4</v>
      </c>
      <c r="J423" t="str">
        <f>HYPERLINK("https://climate.onebuilding.org/WMO_Region_4_North_and_Central_America/CAN_Canada/BC_British_Columbia/CAN_BC_Tofino-Long.Beach.AP.711060_TMYx.zip")</f>
        <v>https://climate.onebuilding.org/WMO_Region_4_North_and_Central_America/CAN_Canada/BC_British_Columbia/CAN_BC_Tofino-Long.Beach.AP.711060_TMYx.zip</v>
      </c>
    </row>
    <row r="424" spans="1:10" x14ac:dyDescent="0.25">
      <c r="A424" t="s">
        <v>6</v>
      </c>
      <c r="B424" t="s">
        <v>55</v>
      </c>
      <c r="C424" t="s">
        <v>231</v>
      </c>
      <c r="D424">
        <v>711070</v>
      </c>
      <c r="E424" t="s">
        <v>232</v>
      </c>
      <c r="F424">
        <v>51.9358</v>
      </c>
      <c r="G424">
        <v>-131.01580000000001</v>
      </c>
      <c r="H424">
        <v>-8</v>
      </c>
      <c r="I424">
        <v>89.4</v>
      </c>
      <c r="J424" t="str">
        <f>HYPERLINK("https://climate.onebuilding.org/WMO_Region_4_North_and_Central_America/CAN_Canada/BC_British_Columbia/CAN_BC_Cape.St.James.Heli.711070_TMYx.2004-2018.zip")</f>
        <v>https://climate.onebuilding.org/WMO_Region_4_North_and_Central_America/CAN_Canada/BC_British_Columbia/CAN_BC_Cape.St.James.Heli.711070_TMYx.2004-2018.zip</v>
      </c>
    </row>
    <row r="425" spans="1:10" x14ac:dyDescent="0.25">
      <c r="A425" t="s">
        <v>6</v>
      </c>
      <c r="B425" t="s">
        <v>55</v>
      </c>
      <c r="C425" t="s">
        <v>231</v>
      </c>
      <c r="D425">
        <v>711070</v>
      </c>
      <c r="E425" t="s">
        <v>10</v>
      </c>
      <c r="F425">
        <v>51.9358</v>
      </c>
      <c r="G425">
        <v>-131.01580000000001</v>
      </c>
      <c r="H425">
        <v>-8</v>
      </c>
      <c r="I425">
        <v>89.4</v>
      </c>
      <c r="J425" t="str">
        <f>HYPERLINK("https://climate.onebuilding.org/WMO_Region_4_North_and_Central_America/CAN_Canada/BC_British_Columbia/CAN_BC_Cape.St.James.Heli.711070_TMYx.2007-2021.zip")</f>
        <v>https://climate.onebuilding.org/WMO_Region_4_North_and_Central_America/CAN_Canada/BC_British_Columbia/CAN_BC_Cape.St.James.Heli.711070_TMYx.2007-2021.zip</v>
      </c>
    </row>
    <row r="426" spans="1:10" x14ac:dyDescent="0.25">
      <c r="A426" t="s">
        <v>6</v>
      </c>
      <c r="B426" t="s">
        <v>55</v>
      </c>
      <c r="C426" t="s">
        <v>231</v>
      </c>
      <c r="D426">
        <v>711070</v>
      </c>
      <c r="E426" t="s">
        <v>10</v>
      </c>
      <c r="F426">
        <v>51.9358</v>
      </c>
      <c r="G426">
        <v>-131.01580000000001</v>
      </c>
      <c r="H426">
        <v>-8</v>
      </c>
      <c r="I426">
        <v>89.4</v>
      </c>
      <c r="J426" t="str">
        <f>HYPERLINK("https://climate.onebuilding.org/WMO_Region_4_North_and_Central_America/CAN_Canada/BC_British_Columbia/CAN_BC_Cape.St.James.Heli.711070_TMYx.2009-2023.zip")</f>
        <v>https://climate.onebuilding.org/WMO_Region_4_North_and_Central_America/CAN_Canada/BC_British_Columbia/CAN_BC_Cape.St.James.Heli.711070_TMYx.2009-2023.zip</v>
      </c>
    </row>
    <row r="427" spans="1:10" x14ac:dyDescent="0.25">
      <c r="A427" t="s">
        <v>6</v>
      </c>
      <c r="B427" t="s">
        <v>55</v>
      </c>
      <c r="C427" t="s">
        <v>231</v>
      </c>
      <c r="D427">
        <v>711070</v>
      </c>
      <c r="E427" t="s">
        <v>10</v>
      </c>
      <c r="F427">
        <v>51.9358</v>
      </c>
      <c r="G427">
        <v>-131.01580000000001</v>
      </c>
      <c r="H427">
        <v>-8</v>
      </c>
      <c r="I427">
        <v>89.4</v>
      </c>
      <c r="J427" t="str">
        <f>HYPERLINK("https://climate.onebuilding.org/WMO_Region_4_North_and_Central_America/CAN_Canada/BC_British_Columbia/CAN_BC_Cape.St.James.Heli.711070_TMYx.zip")</f>
        <v>https://climate.onebuilding.org/WMO_Region_4_North_and_Central_America/CAN_Canada/BC_British_Columbia/CAN_BC_Cape.St.James.Heli.711070_TMYx.zip</v>
      </c>
    </row>
    <row r="428" spans="1:10" x14ac:dyDescent="0.25">
      <c r="A428" t="s">
        <v>6</v>
      </c>
      <c r="B428" t="s">
        <v>55</v>
      </c>
      <c r="C428" t="s">
        <v>233</v>
      </c>
      <c r="D428">
        <v>711074</v>
      </c>
      <c r="E428" t="s">
        <v>10</v>
      </c>
      <c r="F428">
        <v>52.529739999999997</v>
      </c>
      <c r="G428">
        <v>-131.5539</v>
      </c>
      <c r="H428">
        <v>-8</v>
      </c>
      <c r="I428">
        <v>40</v>
      </c>
      <c r="J428" t="str">
        <f>HYPERLINK("https://climate.onebuilding.org/WMO_Region_4_North_and_Central_America/CAN_Canada/BC_British_Columbia/CAN_BC_Hoskins.Inlet.711074_TMYx.zip")</f>
        <v>https://climate.onebuilding.org/WMO_Region_4_North_and_Central_America/CAN_Canada/BC_British_Columbia/CAN_BC_Hoskins.Inlet.711074_TMYx.zip</v>
      </c>
    </row>
    <row r="429" spans="1:10" x14ac:dyDescent="0.25">
      <c r="A429" t="s">
        <v>6</v>
      </c>
      <c r="B429" t="s">
        <v>55</v>
      </c>
      <c r="C429" t="s">
        <v>234</v>
      </c>
      <c r="D429">
        <v>711080</v>
      </c>
      <c r="E429" t="s">
        <v>235</v>
      </c>
      <c r="F429">
        <v>49.025300000000001</v>
      </c>
      <c r="G429">
        <v>-122.36</v>
      </c>
      <c r="H429">
        <v>-8</v>
      </c>
      <c r="I429">
        <v>59.1</v>
      </c>
      <c r="J429" t="str">
        <f>HYPERLINK("https://climate.onebuilding.org/WMO_Region_4_North_and_Central_America/CAN_Canada/BC_British_Columbia/CAN_BC_Abbotsford.Intl.AP.711080_TMYx.2004-2018.zip")</f>
        <v>https://climate.onebuilding.org/WMO_Region_4_North_and_Central_America/CAN_Canada/BC_British_Columbia/CAN_BC_Abbotsford.Intl.AP.711080_TMYx.2004-2018.zip</v>
      </c>
    </row>
    <row r="430" spans="1:10" x14ac:dyDescent="0.25">
      <c r="A430" t="s">
        <v>6</v>
      </c>
      <c r="B430" t="s">
        <v>55</v>
      </c>
      <c r="C430" t="s">
        <v>234</v>
      </c>
      <c r="D430">
        <v>711080</v>
      </c>
      <c r="E430" t="s">
        <v>10</v>
      </c>
      <c r="F430">
        <v>49.027000000000001</v>
      </c>
      <c r="G430">
        <v>-122.377</v>
      </c>
      <c r="H430">
        <v>-8</v>
      </c>
      <c r="I430">
        <v>59.1</v>
      </c>
      <c r="J430" t="str">
        <f>HYPERLINK("https://climate.onebuilding.org/WMO_Region_4_North_and_Central_America/CAN_Canada/BC_British_Columbia/CAN_BC_Abbotsford.Intl.AP.711080_TMYx.2007-2021.zip")</f>
        <v>https://climate.onebuilding.org/WMO_Region_4_North_and_Central_America/CAN_Canada/BC_British_Columbia/CAN_BC_Abbotsford.Intl.AP.711080_TMYx.2007-2021.zip</v>
      </c>
    </row>
    <row r="431" spans="1:10" x14ac:dyDescent="0.25">
      <c r="A431" t="s">
        <v>6</v>
      </c>
      <c r="B431" t="s">
        <v>55</v>
      </c>
      <c r="C431" t="s">
        <v>234</v>
      </c>
      <c r="D431">
        <v>711080</v>
      </c>
      <c r="E431" t="s">
        <v>10</v>
      </c>
      <c r="F431">
        <v>49.027000000000001</v>
      </c>
      <c r="G431">
        <v>-122.377</v>
      </c>
      <c r="H431">
        <v>-8</v>
      </c>
      <c r="I431">
        <v>59.1</v>
      </c>
      <c r="J431" t="str">
        <f>HYPERLINK("https://climate.onebuilding.org/WMO_Region_4_North_and_Central_America/CAN_Canada/BC_British_Columbia/CAN_BC_Abbotsford.Intl.AP.711080_TMYx.2009-2023.zip")</f>
        <v>https://climate.onebuilding.org/WMO_Region_4_North_and_Central_America/CAN_Canada/BC_British_Columbia/CAN_BC_Abbotsford.Intl.AP.711080_TMYx.2009-2023.zip</v>
      </c>
    </row>
    <row r="432" spans="1:10" x14ac:dyDescent="0.25">
      <c r="A432" t="s">
        <v>6</v>
      </c>
      <c r="B432" t="s">
        <v>55</v>
      </c>
      <c r="C432" t="s">
        <v>234</v>
      </c>
      <c r="D432">
        <v>711080</v>
      </c>
      <c r="E432" t="s">
        <v>10</v>
      </c>
      <c r="F432">
        <v>49.027000000000001</v>
      </c>
      <c r="G432">
        <v>-122.377</v>
      </c>
      <c r="H432">
        <v>-8</v>
      </c>
      <c r="I432">
        <v>59.1</v>
      </c>
      <c r="J432" t="str">
        <f>HYPERLINK("https://climate.onebuilding.org/WMO_Region_4_North_and_Central_America/CAN_Canada/BC_British_Columbia/CAN_BC_Abbotsford.Intl.AP.711080_TMYx.zip")</f>
        <v>https://climate.onebuilding.org/WMO_Region_4_North_and_Central_America/CAN_Canada/BC_British_Columbia/CAN_BC_Abbotsford.Intl.AP.711080_TMYx.zip</v>
      </c>
    </row>
    <row r="433" spans="1:10" x14ac:dyDescent="0.25">
      <c r="A433" t="s">
        <v>6</v>
      </c>
      <c r="B433" t="s">
        <v>55</v>
      </c>
      <c r="C433" t="s">
        <v>236</v>
      </c>
      <c r="D433">
        <v>711090</v>
      </c>
      <c r="E433" t="s">
        <v>237</v>
      </c>
      <c r="F433">
        <v>50.680599999999998</v>
      </c>
      <c r="G433">
        <v>-127.36669999999999</v>
      </c>
      <c r="H433">
        <v>-8</v>
      </c>
      <c r="I433">
        <v>21.6</v>
      </c>
      <c r="J433" t="str">
        <f>HYPERLINK("https://climate.onebuilding.org/WMO_Region_4_North_and_Central_America/CAN_Canada/BC_British_Columbia/CAN_BC_Port.Hardy.AP.711090_TMYx.2004-2018.zip")</f>
        <v>https://climate.onebuilding.org/WMO_Region_4_North_and_Central_America/CAN_Canada/BC_British_Columbia/CAN_BC_Port.Hardy.AP.711090_TMYx.2004-2018.zip</v>
      </c>
    </row>
    <row r="434" spans="1:10" x14ac:dyDescent="0.25">
      <c r="A434" t="s">
        <v>6</v>
      </c>
      <c r="B434" t="s">
        <v>55</v>
      </c>
      <c r="C434" t="s">
        <v>236</v>
      </c>
      <c r="D434">
        <v>711090</v>
      </c>
      <c r="E434" t="s">
        <v>10</v>
      </c>
      <c r="F434">
        <v>50.68</v>
      </c>
      <c r="G434">
        <v>-127.37</v>
      </c>
      <c r="H434">
        <v>-8</v>
      </c>
      <c r="I434">
        <v>21.6</v>
      </c>
      <c r="J434" t="str">
        <f>HYPERLINK("https://climate.onebuilding.org/WMO_Region_4_North_and_Central_America/CAN_Canada/BC_British_Columbia/CAN_BC_Port.Hardy.AP.711090_TMYx.2007-2021.zip")</f>
        <v>https://climate.onebuilding.org/WMO_Region_4_North_and_Central_America/CAN_Canada/BC_British_Columbia/CAN_BC_Port.Hardy.AP.711090_TMYx.2007-2021.zip</v>
      </c>
    </row>
    <row r="435" spans="1:10" x14ac:dyDescent="0.25">
      <c r="A435" t="s">
        <v>6</v>
      </c>
      <c r="B435" t="s">
        <v>55</v>
      </c>
      <c r="C435" t="s">
        <v>236</v>
      </c>
      <c r="D435">
        <v>711090</v>
      </c>
      <c r="E435" t="s">
        <v>10</v>
      </c>
      <c r="F435">
        <v>50.68</v>
      </c>
      <c r="G435">
        <v>-127.37</v>
      </c>
      <c r="H435">
        <v>-8</v>
      </c>
      <c r="I435">
        <v>21.6</v>
      </c>
      <c r="J435" t="str">
        <f>HYPERLINK("https://climate.onebuilding.org/WMO_Region_4_North_and_Central_America/CAN_Canada/BC_British_Columbia/CAN_BC_Port.Hardy.AP.711090_TMYx.2009-2023.zip")</f>
        <v>https://climate.onebuilding.org/WMO_Region_4_North_and_Central_America/CAN_Canada/BC_British_Columbia/CAN_BC_Port.Hardy.AP.711090_TMYx.2009-2023.zip</v>
      </c>
    </row>
    <row r="436" spans="1:10" x14ac:dyDescent="0.25">
      <c r="A436" t="s">
        <v>6</v>
      </c>
      <c r="B436" t="s">
        <v>55</v>
      </c>
      <c r="C436" t="s">
        <v>236</v>
      </c>
      <c r="D436">
        <v>711090</v>
      </c>
      <c r="E436" t="s">
        <v>10</v>
      </c>
      <c r="F436">
        <v>50.68</v>
      </c>
      <c r="G436">
        <v>-127.37</v>
      </c>
      <c r="H436">
        <v>-8</v>
      </c>
      <c r="I436">
        <v>21.6</v>
      </c>
      <c r="J436" t="str">
        <f>HYPERLINK("https://climate.onebuilding.org/WMO_Region_4_North_and_Central_America/CAN_Canada/BC_British_Columbia/CAN_BC_Port.Hardy.AP.711090_TMYx.zip")</f>
        <v>https://climate.onebuilding.org/WMO_Region_4_North_and_Central_America/CAN_Canada/BC_British_Columbia/CAN_BC_Port.Hardy.AP.711090_TMYx.zip</v>
      </c>
    </row>
    <row r="437" spans="1:10" x14ac:dyDescent="0.25">
      <c r="A437" t="s">
        <v>6</v>
      </c>
      <c r="B437" t="s">
        <v>11</v>
      </c>
      <c r="C437" t="s">
        <v>238</v>
      </c>
      <c r="D437">
        <v>711100</v>
      </c>
      <c r="E437" t="s">
        <v>239</v>
      </c>
      <c r="F437">
        <v>46.916699999999999</v>
      </c>
      <c r="G437">
        <v>-55.383299999999998</v>
      </c>
      <c r="H437">
        <v>-3.5</v>
      </c>
      <c r="I437">
        <v>48.5</v>
      </c>
      <c r="J437" t="str">
        <f>HYPERLINK("https://climate.onebuilding.org/WMO_Region_4_North_and_Central_America/CAN_Canada/NL_Newfoundland_and_Labrador/CAN_NL_St.Lawrence.711100_TMYx.2004-2018.zip")</f>
        <v>https://climate.onebuilding.org/WMO_Region_4_North_and_Central_America/CAN_Canada/NL_Newfoundland_and_Labrador/CAN_NL_St.Lawrence.711100_TMYx.2004-2018.zip</v>
      </c>
    </row>
    <row r="438" spans="1:10" x14ac:dyDescent="0.25">
      <c r="A438" t="s">
        <v>6</v>
      </c>
      <c r="B438" t="s">
        <v>11</v>
      </c>
      <c r="C438" t="s">
        <v>238</v>
      </c>
      <c r="D438">
        <v>711100</v>
      </c>
      <c r="E438" t="s">
        <v>10</v>
      </c>
      <c r="F438">
        <v>46.918700000000001</v>
      </c>
      <c r="G438">
        <v>-55.378999999999998</v>
      </c>
      <c r="H438">
        <v>-3.5</v>
      </c>
      <c r="I438">
        <v>48.5</v>
      </c>
      <c r="J438" t="str">
        <f>HYPERLINK("https://climate.onebuilding.org/WMO_Region_4_North_and_Central_America/CAN_Canada/NL_Newfoundland_and_Labrador/CAN_NL_St.Lawrence.711100_TMYx.2007-2021.zip")</f>
        <v>https://climate.onebuilding.org/WMO_Region_4_North_and_Central_America/CAN_Canada/NL_Newfoundland_and_Labrador/CAN_NL_St.Lawrence.711100_TMYx.2007-2021.zip</v>
      </c>
    </row>
    <row r="439" spans="1:10" x14ac:dyDescent="0.25">
      <c r="A439" t="s">
        <v>6</v>
      </c>
      <c r="B439" t="s">
        <v>11</v>
      </c>
      <c r="C439" t="s">
        <v>238</v>
      </c>
      <c r="D439">
        <v>711100</v>
      </c>
      <c r="E439" t="s">
        <v>10</v>
      </c>
      <c r="F439">
        <v>46.918700000000001</v>
      </c>
      <c r="G439">
        <v>-55.378999999999998</v>
      </c>
      <c r="H439">
        <v>-3.5</v>
      </c>
      <c r="I439">
        <v>48.5</v>
      </c>
      <c r="J439" t="str">
        <f>HYPERLINK("https://climate.onebuilding.org/WMO_Region_4_North_and_Central_America/CAN_Canada/NL_Newfoundland_and_Labrador/CAN_NL_St.Lawrence.711100_TMYx.2009-2023.zip")</f>
        <v>https://climate.onebuilding.org/WMO_Region_4_North_and_Central_America/CAN_Canada/NL_Newfoundland_and_Labrador/CAN_NL_St.Lawrence.711100_TMYx.2009-2023.zip</v>
      </c>
    </row>
    <row r="440" spans="1:10" x14ac:dyDescent="0.25">
      <c r="A440" t="s">
        <v>6</v>
      </c>
      <c r="B440" t="s">
        <v>11</v>
      </c>
      <c r="C440" t="s">
        <v>238</v>
      </c>
      <c r="D440">
        <v>711100</v>
      </c>
      <c r="E440" t="s">
        <v>10</v>
      </c>
      <c r="F440">
        <v>46.918700000000001</v>
      </c>
      <c r="G440">
        <v>-55.378999999999998</v>
      </c>
      <c r="H440">
        <v>-3.5</v>
      </c>
      <c r="I440">
        <v>48.5</v>
      </c>
      <c r="J440" t="str">
        <f>HYPERLINK("https://climate.onebuilding.org/WMO_Region_4_North_and_Central_America/CAN_Canada/NL_Newfoundland_and_Labrador/CAN_NL_St.Lawrence.711100_TMYx.zip")</f>
        <v>https://climate.onebuilding.org/WMO_Region_4_North_and_Central_America/CAN_Canada/NL_Newfoundland_and_Labrador/CAN_NL_St.Lawrence.711100_TMYx.zip</v>
      </c>
    </row>
    <row r="441" spans="1:10" x14ac:dyDescent="0.25">
      <c r="A441" t="s">
        <v>6</v>
      </c>
      <c r="B441" t="s">
        <v>55</v>
      </c>
      <c r="C441" t="s">
        <v>240</v>
      </c>
      <c r="D441">
        <v>711110</v>
      </c>
      <c r="E441" t="s">
        <v>241</v>
      </c>
      <c r="F441">
        <v>53.254199999999997</v>
      </c>
      <c r="G441">
        <v>-131.81389999999999</v>
      </c>
      <c r="H441">
        <v>-8</v>
      </c>
      <c r="I441">
        <v>6.4</v>
      </c>
      <c r="J441" t="str">
        <f>HYPERLINK("https://climate.onebuilding.org/WMO_Region_4_North_and_Central_America/CAN_Canada/BC_British_Columbia/CAN_BC_Sandspit.AP.711110_TMYx.2004-2018.zip")</f>
        <v>https://climate.onebuilding.org/WMO_Region_4_North_and_Central_America/CAN_Canada/BC_British_Columbia/CAN_BC_Sandspit.AP.711110_TMYx.2004-2018.zip</v>
      </c>
    </row>
    <row r="442" spans="1:10" x14ac:dyDescent="0.25">
      <c r="A442" t="s">
        <v>6</v>
      </c>
      <c r="B442" t="s">
        <v>55</v>
      </c>
      <c r="C442" t="s">
        <v>240</v>
      </c>
      <c r="D442">
        <v>711110</v>
      </c>
      <c r="E442" t="s">
        <v>10</v>
      </c>
      <c r="F442">
        <v>53.249400000000001</v>
      </c>
      <c r="G442">
        <v>-131.8133</v>
      </c>
      <c r="H442">
        <v>-8</v>
      </c>
      <c r="I442">
        <v>6.4</v>
      </c>
      <c r="J442" t="str">
        <f>HYPERLINK("https://climate.onebuilding.org/WMO_Region_4_North_and_Central_America/CAN_Canada/BC_British_Columbia/CAN_BC_Sandspit.AP.711110_TMYx.2007-2021.zip")</f>
        <v>https://climate.onebuilding.org/WMO_Region_4_North_and_Central_America/CAN_Canada/BC_British_Columbia/CAN_BC_Sandspit.AP.711110_TMYx.2007-2021.zip</v>
      </c>
    </row>
    <row r="443" spans="1:10" x14ac:dyDescent="0.25">
      <c r="A443" t="s">
        <v>6</v>
      </c>
      <c r="B443" t="s">
        <v>55</v>
      </c>
      <c r="C443" t="s">
        <v>240</v>
      </c>
      <c r="D443">
        <v>711110</v>
      </c>
      <c r="E443" t="s">
        <v>10</v>
      </c>
      <c r="F443">
        <v>53.249400000000001</v>
      </c>
      <c r="G443">
        <v>-131.8133</v>
      </c>
      <c r="H443">
        <v>-8</v>
      </c>
      <c r="I443">
        <v>6.4</v>
      </c>
      <c r="J443" t="str">
        <f>HYPERLINK("https://climate.onebuilding.org/WMO_Region_4_North_and_Central_America/CAN_Canada/BC_British_Columbia/CAN_BC_Sandspit.AP.711110_TMYx.2009-2023.zip")</f>
        <v>https://climate.onebuilding.org/WMO_Region_4_North_and_Central_America/CAN_Canada/BC_British_Columbia/CAN_BC_Sandspit.AP.711110_TMYx.2009-2023.zip</v>
      </c>
    </row>
    <row r="444" spans="1:10" x14ac:dyDescent="0.25">
      <c r="A444" t="s">
        <v>6</v>
      </c>
      <c r="B444" t="s">
        <v>55</v>
      </c>
      <c r="C444" t="s">
        <v>240</v>
      </c>
      <c r="D444">
        <v>711110</v>
      </c>
      <c r="E444" t="s">
        <v>10</v>
      </c>
      <c r="F444">
        <v>53.249400000000001</v>
      </c>
      <c r="G444">
        <v>-131.8133</v>
      </c>
      <c r="H444">
        <v>-8</v>
      </c>
      <c r="I444">
        <v>6.4</v>
      </c>
      <c r="J444" t="str">
        <f>HYPERLINK("https://climate.onebuilding.org/WMO_Region_4_North_and_Central_America/CAN_Canada/BC_British_Columbia/CAN_BC_Sandspit.AP.711110_TMYx.zip")</f>
        <v>https://climate.onebuilding.org/WMO_Region_4_North_and_Central_America/CAN_Canada/BC_British_Columbia/CAN_BC_Sandspit.AP.711110_TMYx.zip</v>
      </c>
    </row>
    <row r="445" spans="1:10" x14ac:dyDescent="0.25">
      <c r="A445" t="s">
        <v>6</v>
      </c>
      <c r="B445" t="s">
        <v>55</v>
      </c>
      <c r="C445" t="s">
        <v>242</v>
      </c>
      <c r="D445">
        <v>711120</v>
      </c>
      <c r="E445" t="s">
        <v>10</v>
      </c>
      <c r="F445">
        <v>49.182000000000002</v>
      </c>
      <c r="G445">
        <v>-123.078</v>
      </c>
      <c r="H445">
        <v>-8</v>
      </c>
      <c r="I445">
        <v>16</v>
      </c>
      <c r="J445" t="str">
        <f>HYPERLINK("https://climate.onebuilding.org/WMO_Region_4_North_and_Central_America/CAN_Canada/BC_British_Columbia/CAN_BC_Richmond.Operation.Centre.711120_TMYx.zip")</f>
        <v>https://climate.onebuilding.org/WMO_Region_4_North_and_Central_America/CAN_Canada/BC_British_Columbia/CAN_BC_Richmond.Operation.Centre.711120_TMYx.zip</v>
      </c>
    </row>
    <row r="446" spans="1:10" x14ac:dyDescent="0.25">
      <c r="A446" t="s">
        <v>6</v>
      </c>
      <c r="B446" t="s">
        <v>55</v>
      </c>
      <c r="C446" t="s">
        <v>243</v>
      </c>
      <c r="D446">
        <v>711122</v>
      </c>
      <c r="E446" t="s">
        <v>244</v>
      </c>
      <c r="F446">
        <v>48.921599999999998</v>
      </c>
      <c r="G446">
        <v>-125.541</v>
      </c>
      <c r="H446">
        <v>-8</v>
      </c>
      <c r="I446">
        <v>27</v>
      </c>
      <c r="J446" t="str">
        <f>HYPERLINK("https://climate.onebuilding.org/WMO_Region_4_North_and_Central_America/CAN_Canada/BC_British_Columbia/CAN_BC_Amphitrite.Point.Lighthouse.711122_TMYx.2007-2021.zip")</f>
        <v>https://climate.onebuilding.org/WMO_Region_4_North_and_Central_America/CAN_Canada/BC_British_Columbia/CAN_BC_Amphitrite.Point.Lighthouse.711122_TMYx.2007-2021.zip</v>
      </c>
    </row>
    <row r="447" spans="1:10" x14ac:dyDescent="0.25">
      <c r="A447" t="s">
        <v>6</v>
      </c>
      <c r="B447" t="s">
        <v>55</v>
      </c>
      <c r="C447" t="s">
        <v>243</v>
      </c>
      <c r="D447">
        <v>711122</v>
      </c>
      <c r="E447" t="s">
        <v>244</v>
      </c>
      <c r="F447">
        <v>48.921599999999998</v>
      </c>
      <c r="G447">
        <v>-125.541</v>
      </c>
      <c r="H447">
        <v>-8</v>
      </c>
      <c r="I447">
        <v>27</v>
      </c>
      <c r="J447" t="str">
        <f>HYPERLINK("https://climate.onebuilding.org/WMO_Region_4_North_and_Central_America/CAN_Canada/BC_British_Columbia/CAN_BC_Amphitrite.Point.Lighthouse.711122_TMYx.2009-2023.zip")</f>
        <v>https://climate.onebuilding.org/WMO_Region_4_North_and_Central_America/CAN_Canada/BC_British_Columbia/CAN_BC_Amphitrite.Point.Lighthouse.711122_TMYx.2009-2023.zip</v>
      </c>
    </row>
    <row r="448" spans="1:10" x14ac:dyDescent="0.25">
      <c r="A448" t="s">
        <v>6</v>
      </c>
      <c r="B448" t="s">
        <v>55</v>
      </c>
      <c r="C448" t="s">
        <v>243</v>
      </c>
      <c r="D448">
        <v>711122</v>
      </c>
      <c r="E448" t="s">
        <v>244</v>
      </c>
      <c r="F448">
        <v>48.921599999999998</v>
      </c>
      <c r="G448">
        <v>-125.541</v>
      </c>
      <c r="H448">
        <v>-8</v>
      </c>
      <c r="I448">
        <v>27</v>
      </c>
      <c r="J448" t="str">
        <f>HYPERLINK("https://climate.onebuilding.org/WMO_Region_4_North_and_Central_America/CAN_Canada/BC_British_Columbia/CAN_BC_Amphitrite.Point.Lighthouse.711122_TMYx.zip")</f>
        <v>https://climate.onebuilding.org/WMO_Region_4_North_and_Central_America/CAN_Canada/BC_British_Columbia/CAN_BC_Amphitrite.Point.Lighthouse.711122_TMYx.zip</v>
      </c>
    </row>
    <row r="449" spans="1:10" x14ac:dyDescent="0.25">
      <c r="A449" t="s">
        <v>6</v>
      </c>
      <c r="B449" t="s">
        <v>55</v>
      </c>
      <c r="C449" t="s">
        <v>245</v>
      </c>
      <c r="D449">
        <v>711130</v>
      </c>
      <c r="E449" t="s">
        <v>246</v>
      </c>
      <c r="F449">
        <v>49.243099999999998</v>
      </c>
      <c r="G449">
        <v>-121.7603</v>
      </c>
      <c r="H449">
        <v>-8</v>
      </c>
      <c r="I449">
        <v>21</v>
      </c>
      <c r="J449" t="str">
        <f>HYPERLINK("https://climate.onebuilding.org/WMO_Region_4_North_and_Central_America/CAN_Canada/BC_British_Columbia/CAN_BC_Agassiz.RCS.711130_TMYx.2004-2018.zip")</f>
        <v>https://climate.onebuilding.org/WMO_Region_4_North_and_Central_America/CAN_Canada/BC_British_Columbia/CAN_BC_Agassiz.RCS.711130_TMYx.2004-2018.zip</v>
      </c>
    </row>
    <row r="450" spans="1:10" x14ac:dyDescent="0.25">
      <c r="A450" t="s">
        <v>6</v>
      </c>
      <c r="B450" t="s">
        <v>55</v>
      </c>
      <c r="C450" t="s">
        <v>245</v>
      </c>
      <c r="D450">
        <v>711130</v>
      </c>
      <c r="E450" t="s">
        <v>10</v>
      </c>
      <c r="F450">
        <v>49.243099999999998</v>
      </c>
      <c r="G450">
        <v>-121.7603</v>
      </c>
      <c r="H450">
        <v>-8</v>
      </c>
      <c r="I450">
        <v>21</v>
      </c>
      <c r="J450" t="str">
        <f>HYPERLINK("https://climate.onebuilding.org/WMO_Region_4_North_and_Central_America/CAN_Canada/BC_British_Columbia/CAN_BC_Agassiz.RCS.711130_TMYx.2007-2021.zip")</f>
        <v>https://climate.onebuilding.org/WMO_Region_4_North_and_Central_America/CAN_Canada/BC_British_Columbia/CAN_BC_Agassiz.RCS.711130_TMYx.2007-2021.zip</v>
      </c>
    </row>
    <row r="451" spans="1:10" x14ac:dyDescent="0.25">
      <c r="A451" t="s">
        <v>6</v>
      </c>
      <c r="B451" t="s">
        <v>55</v>
      </c>
      <c r="C451" t="s">
        <v>245</v>
      </c>
      <c r="D451">
        <v>711130</v>
      </c>
      <c r="E451" t="s">
        <v>10</v>
      </c>
      <c r="F451">
        <v>49.243099999999998</v>
      </c>
      <c r="G451">
        <v>-121.7603</v>
      </c>
      <c r="H451">
        <v>-8</v>
      </c>
      <c r="I451">
        <v>21</v>
      </c>
      <c r="J451" t="str">
        <f>HYPERLINK("https://climate.onebuilding.org/WMO_Region_4_North_and_Central_America/CAN_Canada/BC_British_Columbia/CAN_BC_Agassiz.RCS.711130_TMYx.2009-2023.zip")</f>
        <v>https://climate.onebuilding.org/WMO_Region_4_North_and_Central_America/CAN_Canada/BC_British_Columbia/CAN_BC_Agassiz.RCS.711130_TMYx.2009-2023.zip</v>
      </c>
    </row>
    <row r="452" spans="1:10" x14ac:dyDescent="0.25">
      <c r="A452" t="s">
        <v>6</v>
      </c>
      <c r="B452" t="s">
        <v>55</v>
      </c>
      <c r="C452" t="s">
        <v>245</v>
      </c>
      <c r="D452">
        <v>711130</v>
      </c>
      <c r="E452" t="s">
        <v>10</v>
      </c>
      <c r="F452">
        <v>49.243099999999998</v>
      </c>
      <c r="G452">
        <v>-121.7603</v>
      </c>
      <c r="H452">
        <v>-8</v>
      </c>
      <c r="I452">
        <v>21</v>
      </c>
      <c r="J452" t="str">
        <f>HYPERLINK("https://climate.onebuilding.org/WMO_Region_4_North_and_Central_America/CAN_Canada/BC_British_Columbia/CAN_BC_Agassiz.RCS.711130_TMYx.zip")</f>
        <v>https://climate.onebuilding.org/WMO_Region_4_North_and_Central_America/CAN_Canada/BC_British_Columbia/CAN_BC_Agassiz.RCS.711130_TMYx.zip</v>
      </c>
    </row>
    <row r="453" spans="1:10" x14ac:dyDescent="0.25">
      <c r="A453" t="s">
        <v>6</v>
      </c>
      <c r="B453" t="s">
        <v>55</v>
      </c>
      <c r="C453" t="s">
        <v>247</v>
      </c>
      <c r="D453">
        <v>711150</v>
      </c>
      <c r="E453" t="s">
        <v>248</v>
      </c>
      <c r="F453">
        <v>50.223100000000002</v>
      </c>
      <c r="G453">
        <v>-119.1936</v>
      </c>
      <c r="H453">
        <v>-8</v>
      </c>
      <c r="I453">
        <v>482</v>
      </c>
      <c r="J453" t="str">
        <f>HYPERLINK("https://climate.onebuilding.org/WMO_Region_4_North_and_Central_America/CAN_Canada/BC_British_Columbia/CAN_BC_Vernon.711150_TMYx.2004-2018.zip")</f>
        <v>https://climate.onebuilding.org/WMO_Region_4_North_and_Central_America/CAN_Canada/BC_British_Columbia/CAN_BC_Vernon.711150_TMYx.2004-2018.zip</v>
      </c>
    </row>
    <row r="454" spans="1:10" x14ac:dyDescent="0.25">
      <c r="A454" t="s">
        <v>6</v>
      </c>
      <c r="B454" t="s">
        <v>55</v>
      </c>
      <c r="C454" t="s">
        <v>247</v>
      </c>
      <c r="D454">
        <v>711150</v>
      </c>
      <c r="E454" t="s">
        <v>10</v>
      </c>
      <c r="F454">
        <v>50.223100000000002</v>
      </c>
      <c r="G454">
        <v>-119.1936</v>
      </c>
      <c r="H454">
        <v>-8</v>
      </c>
      <c r="I454">
        <v>482</v>
      </c>
      <c r="J454" t="str">
        <f>HYPERLINK("https://climate.onebuilding.org/WMO_Region_4_North_and_Central_America/CAN_Canada/BC_British_Columbia/CAN_BC_Vernon.711150_TMYx.2007-2021.zip")</f>
        <v>https://climate.onebuilding.org/WMO_Region_4_North_and_Central_America/CAN_Canada/BC_British_Columbia/CAN_BC_Vernon.711150_TMYx.2007-2021.zip</v>
      </c>
    </row>
    <row r="455" spans="1:10" x14ac:dyDescent="0.25">
      <c r="A455" t="s">
        <v>6</v>
      </c>
      <c r="B455" t="s">
        <v>55</v>
      </c>
      <c r="C455" t="s">
        <v>247</v>
      </c>
      <c r="D455">
        <v>711150</v>
      </c>
      <c r="E455" t="s">
        <v>10</v>
      </c>
      <c r="F455">
        <v>50.223100000000002</v>
      </c>
      <c r="G455">
        <v>-119.1936</v>
      </c>
      <c r="H455">
        <v>-8</v>
      </c>
      <c r="I455">
        <v>482</v>
      </c>
      <c r="J455" t="str">
        <f>HYPERLINK("https://climate.onebuilding.org/WMO_Region_4_North_and_Central_America/CAN_Canada/BC_British_Columbia/CAN_BC_Vernon.711150_TMYx.2009-2023.zip")</f>
        <v>https://climate.onebuilding.org/WMO_Region_4_North_and_Central_America/CAN_Canada/BC_British_Columbia/CAN_BC_Vernon.711150_TMYx.2009-2023.zip</v>
      </c>
    </row>
    <row r="456" spans="1:10" x14ac:dyDescent="0.25">
      <c r="A456" t="s">
        <v>6</v>
      </c>
      <c r="B456" t="s">
        <v>55</v>
      </c>
      <c r="C456" t="s">
        <v>247</v>
      </c>
      <c r="D456">
        <v>711150</v>
      </c>
      <c r="E456" t="s">
        <v>10</v>
      </c>
      <c r="F456">
        <v>50.223100000000002</v>
      </c>
      <c r="G456">
        <v>-119.1936</v>
      </c>
      <c r="H456">
        <v>-8</v>
      </c>
      <c r="I456">
        <v>482</v>
      </c>
      <c r="J456" t="str">
        <f>HYPERLINK("https://climate.onebuilding.org/WMO_Region_4_North_and_Central_America/CAN_Canada/BC_British_Columbia/CAN_BC_Vernon.711150_TMYx.zip")</f>
        <v>https://climate.onebuilding.org/WMO_Region_4_North_and_Central_America/CAN_Canada/BC_British_Columbia/CAN_BC_Vernon.711150_TMYx.zip</v>
      </c>
    </row>
    <row r="457" spans="1:10" x14ac:dyDescent="0.25">
      <c r="A457" t="s">
        <v>6</v>
      </c>
      <c r="B457" t="s">
        <v>17</v>
      </c>
      <c r="C457" t="s">
        <v>249</v>
      </c>
      <c r="D457">
        <v>711160</v>
      </c>
      <c r="E457" t="s">
        <v>250</v>
      </c>
      <c r="F457">
        <v>49.116700000000002</v>
      </c>
      <c r="G457">
        <v>-110.4667</v>
      </c>
      <c r="H457">
        <v>-7</v>
      </c>
      <c r="I457">
        <v>935</v>
      </c>
      <c r="J457" t="str">
        <f>HYPERLINK("https://climate.onebuilding.org/WMO_Region_4_North_and_Central_America/CAN_Canada/AB_Alberta/CAN_AB_Onefour.CDA.711160_TMYx.2004-2018.zip")</f>
        <v>https://climate.onebuilding.org/WMO_Region_4_North_and_Central_America/CAN_Canada/AB_Alberta/CAN_AB_Onefour.CDA.711160_TMYx.2004-2018.zip</v>
      </c>
    </row>
    <row r="458" spans="1:10" x14ac:dyDescent="0.25">
      <c r="A458" t="s">
        <v>6</v>
      </c>
      <c r="B458" t="s">
        <v>17</v>
      </c>
      <c r="C458" t="s">
        <v>249</v>
      </c>
      <c r="D458">
        <v>711160</v>
      </c>
      <c r="E458" t="s">
        <v>10</v>
      </c>
      <c r="F458">
        <v>49.116700000000002</v>
      </c>
      <c r="G458">
        <v>-110.4667</v>
      </c>
      <c r="H458">
        <v>-7</v>
      </c>
      <c r="I458">
        <v>935</v>
      </c>
      <c r="J458" t="str">
        <f>HYPERLINK("https://climate.onebuilding.org/WMO_Region_4_North_and_Central_America/CAN_Canada/AB_Alberta/CAN_AB_Onefour.CDA.711160_TMYx.2007-2021.zip")</f>
        <v>https://climate.onebuilding.org/WMO_Region_4_North_and_Central_America/CAN_Canada/AB_Alberta/CAN_AB_Onefour.CDA.711160_TMYx.2007-2021.zip</v>
      </c>
    </row>
    <row r="459" spans="1:10" x14ac:dyDescent="0.25">
      <c r="A459" t="s">
        <v>6</v>
      </c>
      <c r="B459" t="s">
        <v>17</v>
      </c>
      <c r="C459" t="s">
        <v>249</v>
      </c>
      <c r="D459">
        <v>711160</v>
      </c>
      <c r="E459" t="s">
        <v>10</v>
      </c>
      <c r="F459">
        <v>49.116700000000002</v>
      </c>
      <c r="G459">
        <v>-110.4667</v>
      </c>
      <c r="H459">
        <v>-7</v>
      </c>
      <c r="I459">
        <v>935</v>
      </c>
      <c r="J459" t="str">
        <f>HYPERLINK("https://climate.onebuilding.org/WMO_Region_4_North_and_Central_America/CAN_Canada/AB_Alberta/CAN_AB_Onefour.CDA.711160_TMYx.2009-2023.zip")</f>
        <v>https://climate.onebuilding.org/WMO_Region_4_North_and_Central_America/CAN_Canada/AB_Alberta/CAN_AB_Onefour.CDA.711160_TMYx.2009-2023.zip</v>
      </c>
    </row>
    <row r="460" spans="1:10" x14ac:dyDescent="0.25">
      <c r="A460" t="s">
        <v>6</v>
      </c>
      <c r="B460" t="s">
        <v>17</v>
      </c>
      <c r="C460" t="s">
        <v>249</v>
      </c>
      <c r="D460">
        <v>711160</v>
      </c>
      <c r="E460" t="s">
        <v>10</v>
      </c>
      <c r="F460">
        <v>49.116700000000002</v>
      </c>
      <c r="G460">
        <v>-110.4667</v>
      </c>
      <c r="H460">
        <v>-7</v>
      </c>
      <c r="I460">
        <v>935</v>
      </c>
      <c r="J460" t="str">
        <f>HYPERLINK("https://climate.onebuilding.org/WMO_Region_4_North_and_Central_America/CAN_Canada/AB_Alberta/CAN_AB_Onefour.CDA.711160_TMYx.zip")</f>
        <v>https://climate.onebuilding.org/WMO_Region_4_North_and_Central_America/CAN_Canada/AB_Alberta/CAN_AB_Onefour.CDA.711160_TMYx.zip</v>
      </c>
    </row>
    <row r="461" spans="1:10" x14ac:dyDescent="0.25">
      <c r="A461" t="s">
        <v>6</v>
      </c>
      <c r="B461" t="s">
        <v>17</v>
      </c>
      <c r="C461" t="s">
        <v>251</v>
      </c>
      <c r="D461">
        <v>711180</v>
      </c>
      <c r="E461" t="s">
        <v>252</v>
      </c>
      <c r="F461">
        <v>52.830500000000001</v>
      </c>
      <c r="G461">
        <v>-111.09569999999999</v>
      </c>
      <c r="H461">
        <v>-7</v>
      </c>
      <c r="I461">
        <v>686</v>
      </c>
      <c r="J461" t="str">
        <f>HYPERLINK("https://climate.onebuilding.org/WMO_Region_4_North_and_Central_America/CAN_Canada/AB_Alberta/CAN_AB_CFB.Wainwright-Wainwright.Field.21.AF.711180_TMYx.2004-2018.zip")</f>
        <v>https://climate.onebuilding.org/WMO_Region_4_North_and_Central_America/CAN_Canada/AB_Alberta/CAN_AB_CFB.Wainwright-Wainwright.Field.21.AF.711180_TMYx.2004-2018.zip</v>
      </c>
    </row>
    <row r="462" spans="1:10" x14ac:dyDescent="0.25">
      <c r="A462" t="s">
        <v>6</v>
      </c>
      <c r="B462" t="s">
        <v>17</v>
      </c>
      <c r="C462" t="s">
        <v>251</v>
      </c>
      <c r="D462">
        <v>711180</v>
      </c>
      <c r="E462" t="s">
        <v>10</v>
      </c>
      <c r="F462">
        <v>52.830500000000001</v>
      </c>
      <c r="G462">
        <v>-111.09569999999999</v>
      </c>
      <c r="H462">
        <v>-7</v>
      </c>
      <c r="I462">
        <v>686</v>
      </c>
      <c r="J462" t="str">
        <f>HYPERLINK("https://climate.onebuilding.org/WMO_Region_4_North_and_Central_America/CAN_Canada/AB_Alberta/CAN_AB_CFB.Wainwright-Wainwright.Field.21.AF.711180_TMYx.2007-2021.zip")</f>
        <v>https://climate.onebuilding.org/WMO_Region_4_North_and_Central_America/CAN_Canada/AB_Alberta/CAN_AB_CFB.Wainwright-Wainwright.Field.21.AF.711180_TMYx.2007-2021.zip</v>
      </c>
    </row>
    <row r="463" spans="1:10" x14ac:dyDescent="0.25">
      <c r="A463" t="s">
        <v>6</v>
      </c>
      <c r="B463" t="s">
        <v>17</v>
      </c>
      <c r="C463" t="s">
        <v>251</v>
      </c>
      <c r="D463">
        <v>711180</v>
      </c>
      <c r="E463" t="s">
        <v>10</v>
      </c>
      <c r="F463">
        <v>52.830500000000001</v>
      </c>
      <c r="G463">
        <v>-111.09569999999999</v>
      </c>
      <c r="H463">
        <v>-7</v>
      </c>
      <c r="I463">
        <v>686</v>
      </c>
      <c r="J463" t="str">
        <f>HYPERLINK("https://climate.onebuilding.org/WMO_Region_4_North_and_Central_America/CAN_Canada/AB_Alberta/CAN_AB_CFB.Wainwright-Wainwright.Field.21.AF.711180_TMYx.2009-2023.zip")</f>
        <v>https://climate.onebuilding.org/WMO_Region_4_North_and_Central_America/CAN_Canada/AB_Alberta/CAN_AB_CFB.Wainwright-Wainwright.Field.21.AF.711180_TMYx.2009-2023.zip</v>
      </c>
    </row>
    <row r="464" spans="1:10" x14ac:dyDescent="0.25">
      <c r="A464" t="s">
        <v>6</v>
      </c>
      <c r="B464" t="s">
        <v>17</v>
      </c>
      <c r="C464" t="s">
        <v>251</v>
      </c>
      <c r="D464">
        <v>711180</v>
      </c>
      <c r="E464" t="s">
        <v>10</v>
      </c>
      <c r="F464">
        <v>52.830500000000001</v>
      </c>
      <c r="G464">
        <v>-111.09569999999999</v>
      </c>
      <c r="H464">
        <v>-7</v>
      </c>
      <c r="I464">
        <v>686</v>
      </c>
      <c r="J464" t="str">
        <f>HYPERLINK("https://climate.onebuilding.org/WMO_Region_4_North_and_Central_America/CAN_Canada/AB_Alberta/CAN_AB_CFB.Wainwright-Wainwright.Field.21.AF.711180_TMYx.zip")</f>
        <v>https://climate.onebuilding.org/WMO_Region_4_North_and_Central_America/CAN_Canada/AB_Alberta/CAN_AB_CFB.Wainwright-Wainwright.Field.21.AF.711180_TMYx.zip</v>
      </c>
    </row>
    <row r="465" spans="1:10" x14ac:dyDescent="0.25">
      <c r="A465" t="s">
        <v>6</v>
      </c>
      <c r="B465" t="s">
        <v>17</v>
      </c>
      <c r="C465" t="s">
        <v>253</v>
      </c>
      <c r="D465">
        <v>711200</v>
      </c>
      <c r="E465" t="s">
        <v>254</v>
      </c>
      <c r="F465">
        <v>54.405000000000001</v>
      </c>
      <c r="G465">
        <v>-110.279</v>
      </c>
      <c r="H465">
        <v>-7</v>
      </c>
      <c r="I465">
        <v>541</v>
      </c>
      <c r="J465" t="str">
        <f>HYPERLINK("https://climate.onebuilding.org/WMO_Region_4_North_and_Central_America/CAN_Canada/AB_Alberta/CAN_AB_CFB.Cold.Lake.AP.711200_TMYx.2004-2018.zip")</f>
        <v>https://climate.onebuilding.org/WMO_Region_4_North_and_Central_America/CAN_Canada/AB_Alberta/CAN_AB_CFB.Cold.Lake.AP.711200_TMYx.2004-2018.zip</v>
      </c>
    </row>
    <row r="466" spans="1:10" x14ac:dyDescent="0.25">
      <c r="A466" t="s">
        <v>6</v>
      </c>
      <c r="B466" t="s">
        <v>17</v>
      </c>
      <c r="C466" t="s">
        <v>253</v>
      </c>
      <c r="D466">
        <v>711200</v>
      </c>
      <c r="E466" t="s">
        <v>10</v>
      </c>
      <c r="F466">
        <v>54.42</v>
      </c>
      <c r="G466">
        <v>-110.28</v>
      </c>
      <c r="H466">
        <v>-7</v>
      </c>
      <c r="I466">
        <v>541</v>
      </c>
      <c r="J466" t="str">
        <f>HYPERLINK("https://climate.onebuilding.org/WMO_Region_4_North_and_Central_America/CAN_Canada/AB_Alberta/CAN_AB_CFB.Cold.Lake.AP.711200_TMYx.2007-2021.zip")</f>
        <v>https://climate.onebuilding.org/WMO_Region_4_North_and_Central_America/CAN_Canada/AB_Alberta/CAN_AB_CFB.Cold.Lake.AP.711200_TMYx.2007-2021.zip</v>
      </c>
    </row>
    <row r="467" spans="1:10" x14ac:dyDescent="0.25">
      <c r="A467" t="s">
        <v>6</v>
      </c>
      <c r="B467" t="s">
        <v>17</v>
      </c>
      <c r="C467" t="s">
        <v>253</v>
      </c>
      <c r="D467">
        <v>711200</v>
      </c>
      <c r="E467" t="s">
        <v>10</v>
      </c>
      <c r="F467">
        <v>54.42</v>
      </c>
      <c r="G467">
        <v>-110.28</v>
      </c>
      <c r="H467">
        <v>-7</v>
      </c>
      <c r="I467">
        <v>541</v>
      </c>
      <c r="J467" t="str">
        <f>HYPERLINK("https://climate.onebuilding.org/WMO_Region_4_North_and_Central_America/CAN_Canada/AB_Alberta/CAN_AB_CFB.Cold.Lake.AP.711200_TMYx.2009-2023.zip")</f>
        <v>https://climate.onebuilding.org/WMO_Region_4_North_and_Central_America/CAN_Canada/AB_Alberta/CAN_AB_CFB.Cold.Lake.AP.711200_TMYx.2009-2023.zip</v>
      </c>
    </row>
    <row r="468" spans="1:10" x14ac:dyDescent="0.25">
      <c r="A468" t="s">
        <v>6</v>
      </c>
      <c r="B468" t="s">
        <v>17</v>
      </c>
      <c r="C468" t="s">
        <v>253</v>
      </c>
      <c r="D468">
        <v>711200</v>
      </c>
      <c r="E468" t="s">
        <v>10</v>
      </c>
      <c r="F468">
        <v>54.42</v>
      </c>
      <c r="G468">
        <v>-110.28</v>
      </c>
      <c r="H468">
        <v>-7</v>
      </c>
      <c r="I468">
        <v>541</v>
      </c>
      <c r="J468" t="str">
        <f>HYPERLINK("https://climate.onebuilding.org/WMO_Region_4_North_and_Central_America/CAN_Canada/AB_Alberta/CAN_AB_CFB.Cold.Lake.AP.711200_TMYx.zip")</f>
        <v>https://climate.onebuilding.org/WMO_Region_4_North_and_Central_America/CAN_Canada/AB_Alberta/CAN_AB_CFB.Cold.Lake.AP.711200_TMYx.zip</v>
      </c>
    </row>
    <row r="469" spans="1:10" x14ac:dyDescent="0.25">
      <c r="A469" t="s">
        <v>6</v>
      </c>
      <c r="B469" t="s">
        <v>17</v>
      </c>
      <c r="C469" t="s">
        <v>255</v>
      </c>
      <c r="D469">
        <v>711210</v>
      </c>
      <c r="E469" t="s">
        <v>256</v>
      </c>
      <c r="F469">
        <v>53.666699999999999</v>
      </c>
      <c r="G469">
        <v>-113.4667</v>
      </c>
      <c r="H469">
        <v>-7</v>
      </c>
      <c r="I469">
        <v>687.9</v>
      </c>
      <c r="J469" t="str">
        <f>HYPERLINK("https://climate.onebuilding.org/WMO_Region_4_North_and_Central_America/CAN_Canada/AB_Alberta/CAN_AB_CFB.Edmonton.711210_TMYx.2004-2018.zip")</f>
        <v>https://climate.onebuilding.org/WMO_Region_4_North_and_Central_America/CAN_Canada/AB_Alberta/CAN_AB_CFB.Edmonton.711210_TMYx.2004-2018.zip</v>
      </c>
    </row>
    <row r="470" spans="1:10" x14ac:dyDescent="0.25">
      <c r="A470" t="s">
        <v>6</v>
      </c>
      <c r="B470" t="s">
        <v>17</v>
      </c>
      <c r="C470" t="s">
        <v>255</v>
      </c>
      <c r="D470">
        <v>711210</v>
      </c>
      <c r="E470" t="s">
        <v>10</v>
      </c>
      <c r="F470">
        <v>53.663899999999998</v>
      </c>
      <c r="G470">
        <v>-113.4661</v>
      </c>
      <c r="H470">
        <v>-7</v>
      </c>
      <c r="I470">
        <v>687.9</v>
      </c>
      <c r="J470" t="str">
        <f>HYPERLINK("https://climate.onebuilding.org/WMO_Region_4_North_and_Central_America/CAN_Canada/AB_Alberta/CAN_AB_CFB.Edmonton.711210_TMYx.2007-2021.zip")</f>
        <v>https://climate.onebuilding.org/WMO_Region_4_North_and_Central_America/CAN_Canada/AB_Alberta/CAN_AB_CFB.Edmonton.711210_TMYx.2007-2021.zip</v>
      </c>
    </row>
    <row r="471" spans="1:10" x14ac:dyDescent="0.25">
      <c r="A471" t="s">
        <v>6</v>
      </c>
      <c r="B471" t="s">
        <v>17</v>
      </c>
      <c r="C471" t="s">
        <v>255</v>
      </c>
      <c r="D471">
        <v>711210</v>
      </c>
      <c r="E471" t="s">
        <v>10</v>
      </c>
      <c r="F471">
        <v>53.663899999999998</v>
      </c>
      <c r="G471">
        <v>-113.4661</v>
      </c>
      <c r="H471">
        <v>-7</v>
      </c>
      <c r="I471">
        <v>687.9</v>
      </c>
      <c r="J471" t="str">
        <f>HYPERLINK("https://climate.onebuilding.org/WMO_Region_4_North_and_Central_America/CAN_Canada/AB_Alberta/CAN_AB_CFB.Edmonton.711210_TMYx.2009-2023.zip")</f>
        <v>https://climate.onebuilding.org/WMO_Region_4_North_and_Central_America/CAN_Canada/AB_Alberta/CAN_AB_CFB.Edmonton.711210_TMYx.2009-2023.zip</v>
      </c>
    </row>
    <row r="472" spans="1:10" x14ac:dyDescent="0.25">
      <c r="A472" t="s">
        <v>6</v>
      </c>
      <c r="B472" t="s">
        <v>17</v>
      </c>
      <c r="C472" t="s">
        <v>255</v>
      </c>
      <c r="D472">
        <v>711210</v>
      </c>
      <c r="E472" t="s">
        <v>10</v>
      </c>
      <c r="F472">
        <v>53.663899999999998</v>
      </c>
      <c r="G472">
        <v>-113.4661</v>
      </c>
      <c r="H472">
        <v>-7</v>
      </c>
      <c r="I472">
        <v>687.9</v>
      </c>
      <c r="J472" t="str">
        <f>HYPERLINK("https://climate.onebuilding.org/WMO_Region_4_North_and_Central_America/CAN_Canada/AB_Alberta/CAN_AB_CFB.Edmonton.711210_TMYx.zip")</f>
        <v>https://climate.onebuilding.org/WMO_Region_4_North_and_Central_America/CAN_Canada/AB_Alberta/CAN_AB_CFB.Edmonton.711210_TMYx.zip</v>
      </c>
    </row>
    <row r="473" spans="1:10" x14ac:dyDescent="0.25">
      <c r="A473" t="s">
        <v>6</v>
      </c>
      <c r="B473" t="s">
        <v>17</v>
      </c>
      <c r="C473" t="s">
        <v>257</v>
      </c>
      <c r="D473">
        <v>711220</v>
      </c>
      <c r="E473" t="s">
        <v>258</v>
      </c>
      <c r="F473">
        <v>51.193300000000001</v>
      </c>
      <c r="G473">
        <v>-115.5522</v>
      </c>
      <c r="H473">
        <v>-7</v>
      </c>
      <c r="I473">
        <v>1396.9</v>
      </c>
      <c r="J473" t="str">
        <f>HYPERLINK("https://climate.onebuilding.org/WMO_Region_4_North_and_Central_America/CAN_Canada/AB_Alberta/CAN_AB_Banff.CS.711220_TMYx.2004-2018.zip")</f>
        <v>https://climate.onebuilding.org/WMO_Region_4_North_and_Central_America/CAN_Canada/AB_Alberta/CAN_AB_Banff.CS.711220_TMYx.2004-2018.zip</v>
      </c>
    </row>
    <row r="474" spans="1:10" x14ac:dyDescent="0.25">
      <c r="A474" t="s">
        <v>6</v>
      </c>
      <c r="B474" t="s">
        <v>17</v>
      </c>
      <c r="C474" t="s">
        <v>257</v>
      </c>
      <c r="D474">
        <v>711220</v>
      </c>
      <c r="E474" t="s">
        <v>10</v>
      </c>
      <c r="F474">
        <v>51.193600000000004</v>
      </c>
      <c r="G474">
        <v>-115.55249999999999</v>
      </c>
      <c r="H474">
        <v>-7</v>
      </c>
      <c r="I474">
        <v>1396.9</v>
      </c>
      <c r="J474" t="str">
        <f>HYPERLINK("https://climate.onebuilding.org/WMO_Region_4_North_and_Central_America/CAN_Canada/AB_Alberta/CAN_AB_Banff.CS.711220_TMYx.2007-2021.zip")</f>
        <v>https://climate.onebuilding.org/WMO_Region_4_North_and_Central_America/CAN_Canada/AB_Alberta/CAN_AB_Banff.CS.711220_TMYx.2007-2021.zip</v>
      </c>
    </row>
    <row r="475" spans="1:10" x14ac:dyDescent="0.25">
      <c r="A475" t="s">
        <v>6</v>
      </c>
      <c r="B475" t="s">
        <v>17</v>
      </c>
      <c r="C475" t="s">
        <v>257</v>
      </c>
      <c r="D475">
        <v>711220</v>
      </c>
      <c r="E475" t="s">
        <v>10</v>
      </c>
      <c r="F475">
        <v>51.193600000000004</v>
      </c>
      <c r="G475">
        <v>-115.55249999999999</v>
      </c>
      <c r="H475">
        <v>-7</v>
      </c>
      <c r="I475">
        <v>1396.9</v>
      </c>
      <c r="J475" t="str">
        <f>HYPERLINK("https://climate.onebuilding.org/WMO_Region_4_North_and_Central_America/CAN_Canada/AB_Alberta/CAN_AB_Banff.CS.711220_TMYx.2009-2023.zip")</f>
        <v>https://climate.onebuilding.org/WMO_Region_4_North_and_Central_America/CAN_Canada/AB_Alberta/CAN_AB_Banff.CS.711220_TMYx.2009-2023.zip</v>
      </c>
    </row>
    <row r="476" spans="1:10" x14ac:dyDescent="0.25">
      <c r="A476" t="s">
        <v>6</v>
      </c>
      <c r="B476" t="s">
        <v>17</v>
      </c>
      <c r="C476" t="s">
        <v>257</v>
      </c>
      <c r="D476">
        <v>711220</v>
      </c>
      <c r="E476" t="s">
        <v>10</v>
      </c>
      <c r="F476">
        <v>51.193600000000004</v>
      </c>
      <c r="G476">
        <v>-115.55249999999999</v>
      </c>
      <c r="H476">
        <v>-7</v>
      </c>
      <c r="I476">
        <v>1396.9</v>
      </c>
      <c r="J476" t="str">
        <f>HYPERLINK("https://climate.onebuilding.org/WMO_Region_4_North_and_Central_America/CAN_Canada/AB_Alberta/CAN_AB_Banff.CS.711220_TMYx.zip")</f>
        <v>https://climate.onebuilding.org/WMO_Region_4_North_and_Central_America/CAN_Canada/AB_Alberta/CAN_AB_Banff.CS.711220_TMYx.zip</v>
      </c>
    </row>
    <row r="477" spans="1:10" x14ac:dyDescent="0.25">
      <c r="A477" t="s">
        <v>6</v>
      </c>
      <c r="B477" t="s">
        <v>17</v>
      </c>
      <c r="C477" t="s">
        <v>259</v>
      </c>
      <c r="D477">
        <v>711230</v>
      </c>
      <c r="E477" t="s">
        <v>260</v>
      </c>
      <c r="F477">
        <v>53.316699999999997</v>
      </c>
      <c r="G477">
        <v>-113.58329999999999</v>
      </c>
      <c r="H477">
        <v>-7</v>
      </c>
      <c r="I477">
        <v>723.3</v>
      </c>
      <c r="J477" t="str">
        <f>HYPERLINK("https://climate.onebuilding.org/WMO_Region_4_North_and_Central_America/CAN_Canada/AB_Alberta/CAN_AB_Edmonton.Intl.AP.711230_TMYx.2004-2018.zip")</f>
        <v>https://climate.onebuilding.org/WMO_Region_4_North_and_Central_America/CAN_Canada/AB_Alberta/CAN_AB_Edmonton.Intl.AP.711230_TMYx.2004-2018.zip</v>
      </c>
    </row>
    <row r="478" spans="1:10" x14ac:dyDescent="0.25">
      <c r="A478" t="s">
        <v>6</v>
      </c>
      <c r="B478" t="s">
        <v>17</v>
      </c>
      <c r="C478" t="s">
        <v>259</v>
      </c>
      <c r="D478">
        <v>711230</v>
      </c>
      <c r="E478" t="s">
        <v>10</v>
      </c>
      <c r="F478">
        <v>53.306699999999999</v>
      </c>
      <c r="G478">
        <v>-113.6058</v>
      </c>
      <c r="H478">
        <v>-7</v>
      </c>
      <c r="I478">
        <v>723.3</v>
      </c>
      <c r="J478" t="str">
        <f>HYPERLINK("https://climate.onebuilding.org/WMO_Region_4_North_and_Central_America/CAN_Canada/AB_Alberta/CAN_AB_Edmonton.Intl.AP.711230_TMYx.2007-2021.zip")</f>
        <v>https://climate.onebuilding.org/WMO_Region_4_North_and_Central_America/CAN_Canada/AB_Alberta/CAN_AB_Edmonton.Intl.AP.711230_TMYx.2007-2021.zip</v>
      </c>
    </row>
    <row r="479" spans="1:10" x14ac:dyDescent="0.25">
      <c r="A479" t="s">
        <v>6</v>
      </c>
      <c r="B479" t="s">
        <v>17</v>
      </c>
      <c r="C479" t="s">
        <v>259</v>
      </c>
      <c r="D479">
        <v>711230</v>
      </c>
      <c r="E479" t="s">
        <v>10</v>
      </c>
      <c r="F479">
        <v>53.306699999999999</v>
      </c>
      <c r="G479">
        <v>-113.6058</v>
      </c>
      <c r="H479">
        <v>-7</v>
      </c>
      <c r="I479">
        <v>723.3</v>
      </c>
      <c r="J479" t="str">
        <f>HYPERLINK("https://climate.onebuilding.org/WMO_Region_4_North_and_Central_America/CAN_Canada/AB_Alberta/CAN_AB_Edmonton.Intl.AP.711230_TMYx.2009-2023.zip")</f>
        <v>https://climate.onebuilding.org/WMO_Region_4_North_and_Central_America/CAN_Canada/AB_Alberta/CAN_AB_Edmonton.Intl.AP.711230_TMYx.2009-2023.zip</v>
      </c>
    </row>
    <row r="480" spans="1:10" x14ac:dyDescent="0.25">
      <c r="A480" t="s">
        <v>6</v>
      </c>
      <c r="B480" t="s">
        <v>17</v>
      </c>
      <c r="C480" t="s">
        <v>259</v>
      </c>
      <c r="D480">
        <v>711230</v>
      </c>
      <c r="E480" t="s">
        <v>10</v>
      </c>
      <c r="F480">
        <v>53.306699999999999</v>
      </c>
      <c r="G480">
        <v>-113.6058</v>
      </c>
      <c r="H480">
        <v>-7</v>
      </c>
      <c r="I480">
        <v>723.3</v>
      </c>
      <c r="J480" t="str">
        <f>HYPERLINK("https://climate.onebuilding.org/WMO_Region_4_North_and_Central_America/CAN_Canada/AB_Alberta/CAN_AB_Edmonton.Intl.AP.711230_TMYx.zip")</f>
        <v>https://climate.onebuilding.org/WMO_Region_4_North_and_Central_America/CAN_Canada/AB_Alberta/CAN_AB_Edmonton.Intl.AP.711230_TMYx.zip</v>
      </c>
    </row>
    <row r="481" spans="1:10" x14ac:dyDescent="0.25">
      <c r="A481" t="s">
        <v>6</v>
      </c>
      <c r="B481" t="s">
        <v>17</v>
      </c>
      <c r="C481" t="s">
        <v>261</v>
      </c>
      <c r="D481">
        <v>711233</v>
      </c>
      <c r="E481" t="s">
        <v>262</v>
      </c>
      <c r="F481">
        <v>53.667999999999999</v>
      </c>
      <c r="G481">
        <v>-113.854</v>
      </c>
      <c r="H481">
        <v>-7</v>
      </c>
      <c r="I481">
        <v>687.3</v>
      </c>
      <c r="J481" t="str">
        <f>HYPERLINK("https://climate.onebuilding.org/WMO_Region_4_North_and_Central_America/CAN_Canada/AB_Alberta/CAN_AB_Edmonton-Villeneuve.AP.711233_TMYx.2004-2018.zip")</f>
        <v>https://climate.onebuilding.org/WMO_Region_4_North_and_Central_America/CAN_Canada/AB_Alberta/CAN_AB_Edmonton-Villeneuve.AP.711233_TMYx.2004-2018.zip</v>
      </c>
    </row>
    <row r="482" spans="1:10" x14ac:dyDescent="0.25">
      <c r="A482" t="s">
        <v>6</v>
      </c>
      <c r="B482" t="s">
        <v>17</v>
      </c>
      <c r="C482" t="s">
        <v>261</v>
      </c>
      <c r="D482">
        <v>711233</v>
      </c>
      <c r="E482" t="s">
        <v>10</v>
      </c>
      <c r="F482">
        <v>53.667999999999999</v>
      </c>
      <c r="G482">
        <v>-113.854</v>
      </c>
      <c r="H482">
        <v>-7</v>
      </c>
      <c r="I482">
        <v>687.3</v>
      </c>
      <c r="J482" t="str">
        <f>HYPERLINK("https://climate.onebuilding.org/WMO_Region_4_North_and_Central_America/CAN_Canada/AB_Alberta/CAN_AB_Edmonton-Villeneuve.AP.711233_TMYx.2007-2021.zip")</f>
        <v>https://climate.onebuilding.org/WMO_Region_4_North_and_Central_America/CAN_Canada/AB_Alberta/CAN_AB_Edmonton-Villeneuve.AP.711233_TMYx.2007-2021.zip</v>
      </c>
    </row>
    <row r="483" spans="1:10" x14ac:dyDescent="0.25">
      <c r="A483" t="s">
        <v>6</v>
      </c>
      <c r="B483" t="s">
        <v>17</v>
      </c>
      <c r="C483" t="s">
        <v>261</v>
      </c>
      <c r="D483">
        <v>711233</v>
      </c>
      <c r="E483" t="s">
        <v>10</v>
      </c>
      <c r="F483">
        <v>53.667999999999999</v>
      </c>
      <c r="G483">
        <v>-113.854</v>
      </c>
      <c r="H483">
        <v>-7</v>
      </c>
      <c r="I483">
        <v>687.3</v>
      </c>
      <c r="J483" t="str">
        <f>HYPERLINK("https://climate.onebuilding.org/WMO_Region_4_North_and_Central_America/CAN_Canada/AB_Alberta/CAN_AB_Edmonton-Villeneuve.AP.711233_TMYx.2009-2023.zip")</f>
        <v>https://climate.onebuilding.org/WMO_Region_4_North_and_Central_America/CAN_Canada/AB_Alberta/CAN_AB_Edmonton-Villeneuve.AP.711233_TMYx.2009-2023.zip</v>
      </c>
    </row>
    <row r="484" spans="1:10" x14ac:dyDescent="0.25">
      <c r="A484" t="s">
        <v>6</v>
      </c>
      <c r="B484" t="s">
        <v>17</v>
      </c>
      <c r="C484" t="s">
        <v>261</v>
      </c>
      <c r="D484">
        <v>711233</v>
      </c>
      <c r="E484" t="s">
        <v>10</v>
      </c>
      <c r="F484">
        <v>53.667999999999999</v>
      </c>
      <c r="G484">
        <v>-113.854</v>
      </c>
      <c r="H484">
        <v>-7</v>
      </c>
      <c r="I484">
        <v>687.3</v>
      </c>
      <c r="J484" t="str">
        <f>HYPERLINK("https://climate.onebuilding.org/WMO_Region_4_North_and_Central_America/CAN_Canada/AB_Alberta/CAN_AB_Edmonton-Villeneuve.AP.711233_TMYx.zip")</f>
        <v>https://climate.onebuilding.org/WMO_Region_4_North_and_Central_America/CAN_Canada/AB_Alberta/CAN_AB_Edmonton-Villeneuve.AP.711233_TMYx.zip</v>
      </c>
    </row>
    <row r="485" spans="1:10" x14ac:dyDescent="0.25">
      <c r="A485" t="s">
        <v>6</v>
      </c>
      <c r="B485" t="s">
        <v>17</v>
      </c>
      <c r="C485" t="s">
        <v>263</v>
      </c>
      <c r="D485">
        <v>711270</v>
      </c>
      <c r="E485" t="s">
        <v>264</v>
      </c>
      <c r="F485">
        <v>53.547499999999999</v>
      </c>
      <c r="G485">
        <v>-114.1083</v>
      </c>
      <c r="H485">
        <v>-7</v>
      </c>
      <c r="I485">
        <v>766.3</v>
      </c>
      <c r="J485" t="str">
        <f>HYPERLINK("https://climate.onebuilding.org/WMO_Region_4_North_and_Central_America/CAN_Canada/AB_Alberta/CAN_AB_Edmonton-Stony.Plain.AP.CS.711270_TMYx.2004-2018.zip")</f>
        <v>https://climate.onebuilding.org/WMO_Region_4_North_and_Central_America/CAN_Canada/AB_Alberta/CAN_AB_Edmonton-Stony.Plain.AP.CS.711270_TMYx.2004-2018.zip</v>
      </c>
    </row>
    <row r="486" spans="1:10" x14ac:dyDescent="0.25">
      <c r="A486" t="s">
        <v>6</v>
      </c>
      <c r="B486" t="s">
        <v>17</v>
      </c>
      <c r="C486" t="s">
        <v>263</v>
      </c>
      <c r="D486">
        <v>711270</v>
      </c>
      <c r="E486" t="s">
        <v>10</v>
      </c>
      <c r="F486">
        <v>53.547499999999999</v>
      </c>
      <c r="G486">
        <v>-114.1083</v>
      </c>
      <c r="H486">
        <v>-7</v>
      </c>
      <c r="I486">
        <v>766.3</v>
      </c>
      <c r="J486" t="str">
        <f>HYPERLINK("https://climate.onebuilding.org/WMO_Region_4_North_and_Central_America/CAN_Canada/AB_Alberta/CAN_AB_Edmonton-Stony.Plain.AP.CS.711270_TMYx.2007-2021.zip")</f>
        <v>https://climate.onebuilding.org/WMO_Region_4_North_and_Central_America/CAN_Canada/AB_Alberta/CAN_AB_Edmonton-Stony.Plain.AP.CS.711270_TMYx.2007-2021.zip</v>
      </c>
    </row>
    <row r="487" spans="1:10" x14ac:dyDescent="0.25">
      <c r="A487" t="s">
        <v>6</v>
      </c>
      <c r="B487" t="s">
        <v>17</v>
      </c>
      <c r="C487" t="s">
        <v>263</v>
      </c>
      <c r="D487">
        <v>711270</v>
      </c>
      <c r="E487" t="s">
        <v>10</v>
      </c>
      <c r="F487">
        <v>53.547499999999999</v>
      </c>
      <c r="G487">
        <v>-114.1083</v>
      </c>
      <c r="H487">
        <v>-7</v>
      </c>
      <c r="I487">
        <v>766.3</v>
      </c>
      <c r="J487" t="str">
        <f>HYPERLINK("https://climate.onebuilding.org/WMO_Region_4_North_and_Central_America/CAN_Canada/AB_Alberta/CAN_AB_Edmonton-Stony.Plain.AP.CS.711270_TMYx.2009-2023.zip")</f>
        <v>https://climate.onebuilding.org/WMO_Region_4_North_and_Central_America/CAN_Canada/AB_Alberta/CAN_AB_Edmonton-Stony.Plain.AP.CS.711270_TMYx.2009-2023.zip</v>
      </c>
    </row>
    <row r="488" spans="1:10" x14ac:dyDescent="0.25">
      <c r="A488" t="s">
        <v>6</v>
      </c>
      <c r="B488" t="s">
        <v>17</v>
      </c>
      <c r="C488" t="s">
        <v>263</v>
      </c>
      <c r="D488">
        <v>711270</v>
      </c>
      <c r="E488" t="s">
        <v>10</v>
      </c>
      <c r="F488">
        <v>53.547499999999999</v>
      </c>
      <c r="G488">
        <v>-114.1083</v>
      </c>
      <c r="H488">
        <v>-7</v>
      </c>
      <c r="I488">
        <v>766.3</v>
      </c>
      <c r="J488" t="str">
        <f>HYPERLINK("https://climate.onebuilding.org/WMO_Region_4_North_and_Central_America/CAN_Canada/AB_Alberta/CAN_AB_Edmonton-Stony.Plain.AP.CS.711270_TMYx.zip")</f>
        <v>https://climate.onebuilding.org/WMO_Region_4_North_and_Central_America/CAN_Canada/AB_Alberta/CAN_AB_Edmonton-Stony.Plain.AP.CS.711270_TMYx.zip</v>
      </c>
    </row>
    <row r="489" spans="1:10" x14ac:dyDescent="0.25">
      <c r="A489" t="s">
        <v>6</v>
      </c>
      <c r="B489" t="s">
        <v>58</v>
      </c>
      <c r="C489" t="s">
        <v>265</v>
      </c>
      <c r="D489">
        <v>711290</v>
      </c>
      <c r="E489" t="s">
        <v>266</v>
      </c>
      <c r="F489">
        <v>51.5167</v>
      </c>
      <c r="G489">
        <v>-109.1833</v>
      </c>
      <c r="H489">
        <v>-6</v>
      </c>
      <c r="I489">
        <v>693.7</v>
      </c>
      <c r="J489" t="str">
        <f>HYPERLINK("https://climate.onebuilding.org/WMO_Region_4_North_and_Central_America/CAN_Canada/SK_Saskatchewan/CAN_SK_Kindersley.Rgnl.AP.711290_TMYx.2004-2018.zip")</f>
        <v>https://climate.onebuilding.org/WMO_Region_4_North_and_Central_America/CAN_Canada/SK_Saskatchewan/CAN_SK_Kindersley.Rgnl.AP.711290_TMYx.2004-2018.zip</v>
      </c>
    </row>
    <row r="490" spans="1:10" x14ac:dyDescent="0.25">
      <c r="A490" t="s">
        <v>6</v>
      </c>
      <c r="B490" t="s">
        <v>58</v>
      </c>
      <c r="C490" t="s">
        <v>265</v>
      </c>
      <c r="D490">
        <v>711290</v>
      </c>
      <c r="E490" t="s">
        <v>10</v>
      </c>
      <c r="F490">
        <v>51.518000000000001</v>
      </c>
      <c r="G490">
        <v>-109.18</v>
      </c>
      <c r="H490">
        <v>-6</v>
      </c>
      <c r="I490">
        <v>693.7</v>
      </c>
      <c r="J490" t="str">
        <f>HYPERLINK("https://climate.onebuilding.org/WMO_Region_4_North_and_Central_America/CAN_Canada/SK_Saskatchewan/CAN_SK_Kindersley.Rgnl.AP.711290_TMYx.2007-2021.zip")</f>
        <v>https://climate.onebuilding.org/WMO_Region_4_North_and_Central_America/CAN_Canada/SK_Saskatchewan/CAN_SK_Kindersley.Rgnl.AP.711290_TMYx.2007-2021.zip</v>
      </c>
    </row>
    <row r="491" spans="1:10" x14ac:dyDescent="0.25">
      <c r="A491" t="s">
        <v>6</v>
      </c>
      <c r="B491" t="s">
        <v>58</v>
      </c>
      <c r="C491" t="s">
        <v>265</v>
      </c>
      <c r="D491">
        <v>711290</v>
      </c>
      <c r="E491" t="s">
        <v>10</v>
      </c>
      <c r="F491">
        <v>51.518000000000001</v>
      </c>
      <c r="G491">
        <v>-109.18</v>
      </c>
      <c r="H491">
        <v>-6</v>
      </c>
      <c r="I491">
        <v>693.7</v>
      </c>
      <c r="J491" t="str">
        <f>HYPERLINK("https://climate.onebuilding.org/WMO_Region_4_North_and_Central_America/CAN_Canada/SK_Saskatchewan/CAN_SK_Kindersley.Rgnl.AP.711290_TMYx.2009-2023.zip")</f>
        <v>https://climate.onebuilding.org/WMO_Region_4_North_and_Central_America/CAN_Canada/SK_Saskatchewan/CAN_SK_Kindersley.Rgnl.AP.711290_TMYx.2009-2023.zip</v>
      </c>
    </row>
    <row r="492" spans="1:10" x14ac:dyDescent="0.25">
      <c r="A492" t="s">
        <v>6</v>
      </c>
      <c r="B492" t="s">
        <v>58</v>
      </c>
      <c r="C492" t="s">
        <v>265</v>
      </c>
      <c r="D492">
        <v>711290</v>
      </c>
      <c r="E492" t="s">
        <v>10</v>
      </c>
      <c r="F492">
        <v>51.518000000000001</v>
      </c>
      <c r="G492">
        <v>-109.18</v>
      </c>
      <c r="H492">
        <v>-6</v>
      </c>
      <c r="I492">
        <v>693.7</v>
      </c>
      <c r="J492" t="str">
        <f>HYPERLINK("https://climate.onebuilding.org/WMO_Region_4_North_and_Central_America/CAN_Canada/SK_Saskatchewan/CAN_SK_Kindersley.Rgnl.AP.711290_TMYx.zip")</f>
        <v>https://climate.onebuilding.org/WMO_Region_4_North_and_Central_America/CAN_Canada/SK_Saskatchewan/CAN_SK_Kindersley.Rgnl.AP.711290_TMYx.zip</v>
      </c>
    </row>
    <row r="493" spans="1:10" x14ac:dyDescent="0.25">
      <c r="A493" t="s">
        <v>6</v>
      </c>
      <c r="B493" t="s">
        <v>58</v>
      </c>
      <c r="C493" t="s">
        <v>267</v>
      </c>
      <c r="D493">
        <v>711310</v>
      </c>
      <c r="E493" t="s">
        <v>268</v>
      </c>
      <c r="F493">
        <v>49.437800000000003</v>
      </c>
      <c r="G493">
        <v>-108.98860000000001</v>
      </c>
      <c r="H493">
        <v>-6</v>
      </c>
      <c r="I493">
        <v>1079.5999999999999</v>
      </c>
      <c r="J493" t="str">
        <f>HYPERLINK("https://climate.onebuilding.org/WMO_Region_4_North_and_Central_America/CAN_Canada/SK_Saskatchewan/CAN_SK_Eastend-Cypress.711310_TMYx.2004-2018.zip")</f>
        <v>https://climate.onebuilding.org/WMO_Region_4_North_and_Central_America/CAN_Canada/SK_Saskatchewan/CAN_SK_Eastend-Cypress.711310_TMYx.2004-2018.zip</v>
      </c>
    </row>
    <row r="494" spans="1:10" x14ac:dyDescent="0.25">
      <c r="A494" t="s">
        <v>6</v>
      </c>
      <c r="B494" t="s">
        <v>58</v>
      </c>
      <c r="C494" t="s">
        <v>267</v>
      </c>
      <c r="D494">
        <v>711310</v>
      </c>
      <c r="E494" t="s">
        <v>10</v>
      </c>
      <c r="F494">
        <v>49.437800000000003</v>
      </c>
      <c r="G494">
        <v>-108.98860000000001</v>
      </c>
      <c r="H494">
        <v>-6</v>
      </c>
      <c r="I494">
        <v>1079.5999999999999</v>
      </c>
      <c r="J494" t="str">
        <f>HYPERLINK("https://climate.onebuilding.org/WMO_Region_4_North_and_Central_America/CAN_Canada/SK_Saskatchewan/CAN_SK_Eastend-Cypress.711310_TMYx.2007-2021.zip")</f>
        <v>https://climate.onebuilding.org/WMO_Region_4_North_and_Central_America/CAN_Canada/SK_Saskatchewan/CAN_SK_Eastend-Cypress.711310_TMYx.2007-2021.zip</v>
      </c>
    </row>
    <row r="495" spans="1:10" x14ac:dyDescent="0.25">
      <c r="A495" t="s">
        <v>6</v>
      </c>
      <c r="B495" t="s">
        <v>58</v>
      </c>
      <c r="C495" t="s">
        <v>267</v>
      </c>
      <c r="D495">
        <v>711310</v>
      </c>
      <c r="E495" t="s">
        <v>10</v>
      </c>
      <c r="F495">
        <v>49.437800000000003</v>
      </c>
      <c r="G495">
        <v>-108.98860000000001</v>
      </c>
      <c r="H495">
        <v>-6</v>
      </c>
      <c r="I495">
        <v>1079.5999999999999</v>
      </c>
      <c r="J495" t="str">
        <f>HYPERLINK("https://climate.onebuilding.org/WMO_Region_4_North_and_Central_America/CAN_Canada/SK_Saskatchewan/CAN_SK_Eastend-Cypress.711310_TMYx.2009-2023.zip")</f>
        <v>https://climate.onebuilding.org/WMO_Region_4_North_and_Central_America/CAN_Canada/SK_Saskatchewan/CAN_SK_Eastend-Cypress.711310_TMYx.2009-2023.zip</v>
      </c>
    </row>
    <row r="496" spans="1:10" x14ac:dyDescent="0.25">
      <c r="A496" t="s">
        <v>6</v>
      </c>
      <c r="B496" t="s">
        <v>58</v>
      </c>
      <c r="C496" t="s">
        <v>267</v>
      </c>
      <c r="D496">
        <v>711310</v>
      </c>
      <c r="E496" t="s">
        <v>10</v>
      </c>
      <c r="F496">
        <v>49.437800000000003</v>
      </c>
      <c r="G496">
        <v>-108.98860000000001</v>
      </c>
      <c r="H496">
        <v>-6</v>
      </c>
      <c r="I496">
        <v>1079.5999999999999</v>
      </c>
      <c r="J496" t="str">
        <f>HYPERLINK("https://climate.onebuilding.org/WMO_Region_4_North_and_Central_America/CAN_Canada/SK_Saskatchewan/CAN_SK_Eastend-Cypress.711310_TMYx.zip")</f>
        <v>https://climate.onebuilding.org/WMO_Region_4_North_and_Central_America/CAN_Canada/SK_Saskatchewan/CAN_SK_Eastend-Cypress.711310_TMYx.zip</v>
      </c>
    </row>
    <row r="497" spans="1:10" x14ac:dyDescent="0.25">
      <c r="A497" t="s">
        <v>6</v>
      </c>
      <c r="B497" t="s">
        <v>58</v>
      </c>
      <c r="C497" t="s">
        <v>269</v>
      </c>
      <c r="D497">
        <v>711320</v>
      </c>
      <c r="E497" t="s">
        <v>270</v>
      </c>
      <c r="F497">
        <v>59.250300000000003</v>
      </c>
      <c r="G497">
        <v>-105.84139999999999</v>
      </c>
      <c r="H497">
        <v>-6</v>
      </c>
      <c r="I497">
        <v>244.2</v>
      </c>
      <c r="J497" t="str">
        <f>HYPERLINK("https://climate.onebuilding.org/WMO_Region_4_North_and_Central_America/CAN_Canada/SK_Saskatchewan/CAN_SK_Stony.Rapids.AP.711320_TMYx.2004-2018.zip")</f>
        <v>https://climate.onebuilding.org/WMO_Region_4_North_and_Central_America/CAN_Canada/SK_Saskatchewan/CAN_SK_Stony.Rapids.AP.711320_TMYx.2004-2018.zip</v>
      </c>
    </row>
    <row r="498" spans="1:10" x14ac:dyDescent="0.25">
      <c r="A498" t="s">
        <v>6</v>
      </c>
      <c r="B498" t="s">
        <v>58</v>
      </c>
      <c r="C498" t="s">
        <v>269</v>
      </c>
      <c r="D498">
        <v>711320</v>
      </c>
      <c r="E498" t="s">
        <v>10</v>
      </c>
      <c r="F498">
        <v>59.250300000000003</v>
      </c>
      <c r="G498">
        <v>-105.84139999999999</v>
      </c>
      <c r="H498">
        <v>-6</v>
      </c>
      <c r="I498">
        <v>244.2</v>
      </c>
      <c r="J498" t="str">
        <f>HYPERLINK("https://climate.onebuilding.org/WMO_Region_4_North_and_Central_America/CAN_Canada/SK_Saskatchewan/CAN_SK_Stony.Rapids.AP.711320_TMYx.2007-2021.zip")</f>
        <v>https://climate.onebuilding.org/WMO_Region_4_North_and_Central_America/CAN_Canada/SK_Saskatchewan/CAN_SK_Stony.Rapids.AP.711320_TMYx.2007-2021.zip</v>
      </c>
    </row>
    <row r="499" spans="1:10" x14ac:dyDescent="0.25">
      <c r="A499" t="s">
        <v>6</v>
      </c>
      <c r="B499" t="s">
        <v>58</v>
      </c>
      <c r="C499" t="s">
        <v>269</v>
      </c>
      <c r="D499">
        <v>711320</v>
      </c>
      <c r="E499" t="s">
        <v>10</v>
      </c>
      <c r="F499">
        <v>59.250300000000003</v>
      </c>
      <c r="G499">
        <v>-105.84139999999999</v>
      </c>
      <c r="H499">
        <v>-6</v>
      </c>
      <c r="I499">
        <v>244.2</v>
      </c>
      <c r="J499" t="str">
        <f>HYPERLINK("https://climate.onebuilding.org/WMO_Region_4_North_and_Central_America/CAN_Canada/SK_Saskatchewan/CAN_SK_Stony.Rapids.AP.711320_TMYx.2009-2023.zip")</f>
        <v>https://climate.onebuilding.org/WMO_Region_4_North_and_Central_America/CAN_Canada/SK_Saskatchewan/CAN_SK_Stony.Rapids.AP.711320_TMYx.2009-2023.zip</v>
      </c>
    </row>
    <row r="500" spans="1:10" x14ac:dyDescent="0.25">
      <c r="A500" t="s">
        <v>6</v>
      </c>
      <c r="B500" t="s">
        <v>58</v>
      </c>
      <c r="C500" t="s">
        <v>269</v>
      </c>
      <c r="D500">
        <v>711320</v>
      </c>
      <c r="E500" t="s">
        <v>10</v>
      </c>
      <c r="F500">
        <v>59.250300000000003</v>
      </c>
      <c r="G500">
        <v>-105.84139999999999</v>
      </c>
      <c r="H500">
        <v>-6</v>
      </c>
      <c r="I500">
        <v>244.2</v>
      </c>
      <c r="J500" t="str">
        <f>HYPERLINK("https://climate.onebuilding.org/WMO_Region_4_North_and_Central_America/CAN_Canada/SK_Saskatchewan/CAN_SK_Stony.Rapids.AP.711320_TMYx.zip")</f>
        <v>https://climate.onebuilding.org/WMO_Region_4_North_and_Central_America/CAN_Canada/SK_Saskatchewan/CAN_SK_Stony.Rapids.AP.711320_TMYx.zip</v>
      </c>
    </row>
    <row r="501" spans="1:10" x14ac:dyDescent="0.25">
      <c r="A501" t="s">
        <v>6</v>
      </c>
      <c r="B501" t="s">
        <v>58</v>
      </c>
      <c r="C501" t="s">
        <v>271</v>
      </c>
      <c r="D501">
        <v>711330</v>
      </c>
      <c r="E501" t="s">
        <v>272</v>
      </c>
      <c r="F501">
        <v>53.366700000000002</v>
      </c>
      <c r="G501">
        <v>-107.55</v>
      </c>
      <c r="H501">
        <v>-6</v>
      </c>
      <c r="I501">
        <v>584.29999999999995</v>
      </c>
      <c r="J501" t="str">
        <f>HYPERLINK("https://climate.onebuilding.org/WMO_Region_4_North_and_Central_America/CAN_Canada/SK_Saskatchewan/CAN_SK_Spiritwood.West.711330_TMYx.2004-2018.zip")</f>
        <v>https://climate.onebuilding.org/WMO_Region_4_North_and_Central_America/CAN_Canada/SK_Saskatchewan/CAN_SK_Spiritwood.West.711330_TMYx.2004-2018.zip</v>
      </c>
    </row>
    <row r="502" spans="1:10" x14ac:dyDescent="0.25">
      <c r="A502" t="s">
        <v>6</v>
      </c>
      <c r="B502" t="s">
        <v>58</v>
      </c>
      <c r="C502" t="s">
        <v>271</v>
      </c>
      <c r="D502">
        <v>711330</v>
      </c>
      <c r="E502" t="s">
        <v>10</v>
      </c>
      <c r="F502">
        <v>53.366100000000003</v>
      </c>
      <c r="G502">
        <v>-107.5564</v>
      </c>
      <c r="H502">
        <v>-6</v>
      </c>
      <c r="I502">
        <v>584.29999999999995</v>
      </c>
      <c r="J502" t="str">
        <f>HYPERLINK("https://climate.onebuilding.org/WMO_Region_4_North_and_Central_America/CAN_Canada/SK_Saskatchewan/CAN_SK_Spiritwood.West.711330_TMYx.2007-2021.zip")</f>
        <v>https://climate.onebuilding.org/WMO_Region_4_North_and_Central_America/CAN_Canada/SK_Saskatchewan/CAN_SK_Spiritwood.West.711330_TMYx.2007-2021.zip</v>
      </c>
    </row>
    <row r="503" spans="1:10" x14ac:dyDescent="0.25">
      <c r="A503" t="s">
        <v>6</v>
      </c>
      <c r="B503" t="s">
        <v>58</v>
      </c>
      <c r="C503" t="s">
        <v>271</v>
      </c>
      <c r="D503">
        <v>711330</v>
      </c>
      <c r="E503" t="s">
        <v>10</v>
      </c>
      <c r="F503">
        <v>53.366100000000003</v>
      </c>
      <c r="G503">
        <v>-107.5564</v>
      </c>
      <c r="H503">
        <v>-6</v>
      </c>
      <c r="I503">
        <v>584.29999999999995</v>
      </c>
      <c r="J503" t="str">
        <f>HYPERLINK("https://climate.onebuilding.org/WMO_Region_4_North_and_Central_America/CAN_Canada/SK_Saskatchewan/CAN_SK_Spiritwood.West.711330_TMYx.2009-2023.zip")</f>
        <v>https://climate.onebuilding.org/WMO_Region_4_North_and_Central_America/CAN_Canada/SK_Saskatchewan/CAN_SK_Spiritwood.West.711330_TMYx.2009-2023.zip</v>
      </c>
    </row>
    <row r="504" spans="1:10" x14ac:dyDescent="0.25">
      <c r="A504" t="s">
        <v>6</v>
      </c>
      <c r="B504" t="s">
        <v>58</v>
      </c>
      <c r="C504" t="s">
        <v>271</v>
      </c>
      <c r="D504">
        <v>711330</v>
      </c>
      <c r="E504" t="s">
        <v>10</v>
      </c>
      <c r="F504">
        <v>53.366100000000003</v>
      </c>
      <c r="G504">
        <v>-107.5564</v>
      </c>
      <c r="H504">
        <v>-6</v>
      </c>
      <c r="I504">
        <v>584.29999999999995</v>
      </c>
      <c r="J504" t="str">
        <f>HYPERLINK("https://climate.onebuilding.org/WMO_Region_4_North_and_Central_America/CAN_Canada/SK_Saskatchewan/CAN_SK_Spiritwood.West.711330_TMYx.zip")</f>
        <v>https://climate.onebuilding.org/WMO_Region_4_North_and_Central_America/CAN_Canada/SK_Saskatchewan/CAN_SK_Spiritwood.West.711330_TMYx.zip</v>
      </c>
    </row>
    <row r="505" spans="1:10" x14ac:dyDescent="0.25">
      <c r="A505" t="s">
        <v>6</v>
      </c>
      <c r="B505" t="s">
        <v>58</v>
      </c>
      <c r="C505" t="s">
        <v>273</v>
      </c>
      <c r="D505">
        <v>711340</v>
      </c>
      <c r="E505" t="s">
        <v>10</v>
      </c>
      <c r="F505">
        <v>59.206589999999998</v>
      </c>
      <c r="G505">
        <v>-109.69110000000001</v>
      </c>
      <c r="H505">
        <v>-6</v>
      </c>
      <c r="I505">
        <v>238</v>
      </c>
      <c r="J505" t="str">
        <f>HYPERLINK("https://climate.onebuilding.org/WMO_Region_4_North_and_Central_America/CAN_Canada/SK_Saskatchewan/CAN_SK_Beartooth.Island.711340_TMYx.zip")</f>
        <v>https://climate.onebuilding.org/WMO_Region_4_North_and_Central_America/CAN_Canada/SK_Saskatchewan/CAN_SK_Beartooth.Island.711340_TMYx.zip</v>
      </c>
    </row>
    <row r="506" spans="1:10" x14ac:dyDescent="0.25">
      <c r="A506" t="s">
        <v>6</v>
      </c>
      <c r="B506" t="s">
        <v>58</v>
      </c>
      <c r="C506" t="s">
        <v>274</v>
      </c>
      <c r="D506">
        <v>711350</v>
      </c>
      <c r="E506" t="s">
        <v>275</v>
      </c>
      <c r="F506">
        <v>49.1678</v>
      </c>
      <c r="G506">
        <v>-105.97920000000001</v>
      </c>
      <c r="H506">
        <v>-6</v>
      </c>
      <c r="I506">
        <v>917</v>
      </c>
      <c r="J506" t="str">
        <f>HYPERLINK("https://climate.onebuilding.org/WMO_Region_4_North_and_Central_America/CAN_Canada/SK_Saskatchewan/CAN_SK_Rockglen.711350_TMYx.2004-2018.zip")</f>
        <v>https://climate.onebuilding.org/WMO_Region_4_North_and_Central_America/CAN_Canada/SK_Saskatchewan/CAN_SK_Rockglen.711350_TMYx.2004-2018.zip</v>
      </c>
    </row>
    <row r="507" spans="1:10" x14ac:dyDescent="0.25">
      <c r="A507" t="s">
        <v>6</v>
      </c>
      <c r="B507" t="s">
        <v>58</v>
      </c>
      <c r="C507" t="s">
        <v>274</v>
      </c>
      <c r="D507">
        <v>711350</v>
      </c>
      <c r="E507" t="s">
        <v>10</v>
      </c>
      <c r="F507">
        <v>49.1678</v>
      </c>
      <c r="G507">
        <v>-105.97920000000001</v>
      </c>
      <c r="H507">
        <v>-6</v>
      </c>
      <c r="I507">
        <v>917</v>
      </c>
      <c r="J507" t="str">
        <f>HYPERLINK("https://climate.onebuilding.org/WMO_Region_4_North_and_Central_America/CAN_Canada/SK_Saskatchewan/CAN_SK_Rockglen.711350_TMYx.2007-2021.zip")</f>
        <v>https://climate.onebuilding.org/WMO_Region_4_North_and_Central_America/CAN_Canada/SK_Saskatchewan/CAN_SK_Rockglen.711350_TMYx.2007-2021.zip</v>
      </c>
    </row>
    <row r="508" spans="1:10" x14ac:dyDescent="0.25">
      <c r="A508" t="s">
        <v>6</v>
      </c>
      <c r="B508" t="s">
        <v>58</v>
      </c>
      <c r="C508" t="s">
        <v>274</v>
      </c>
      <c r="D508">
        <v>711350</v>
      </c>
      <c r="E508" t="s">
        <v>10</v>
      </c>
      <c r="F508">
        <v>49.1678</v>
      </c>
      <c r="G508">
        <v>-105.97920000000001</v>
      </c>
      <c r="H508">
        <v>-6</v>
      </c>
      <c r="I508">
        <v>917</v>
      </c>
      <c r="J508" t="str">
        <f>HYPERLINK("https://climate.onebuilding.org/WMO_Region_4_North_and_Central_America/CAN_Canada/SK_Saskatchewan/CAN_SK_Rockglen.711350_TMYx.2009-2023.zip")</f>
        <v>https://climate.onebuilding.org/WMO_Region_4_North_and_Central_America/CAN_Canada/SK_Saskatchewan/CAN_SK_Rockglen.711350_TMYx.2009-2023.zip</v>
      </c>
    </row>
    <row r="509" spans="1:10" x14ac:dyDescent="0.25">
      <c r="A509" t="s">
        <v>6</v>
      </c>
      <c r="B509" t="s">
        <v>58</v>
      </c>
      <c r="C509" t="s">
        <v>274</v>
      </c>
      <c r="D509">
        <v>711350</v>
      </c>
      <c r="E509" t="s">
        <v>10</v>
      </c>
      <c r="F509">
        <v>49.1678</v>
      </c>
      <c r="G509">
        <v>-105.97920000000001</v>
      </c>
      <c r="H509">
        <v>-6</v>
      </c>
      <c r="I509">
        <v>917</v>
      </c>
      <c r="J509" t="str">
        <f>HYPERLINK("https://climate.onebuilding.org/WMO_Region_4_North_and_Central_America/CAN_Canada/SK_Saskatchewan/CAN_SK_Rockglen.711350_TMYx.zip")</f>
        <v>https://climate.onebuilding.org/WMO_Region_4_North_and_Central_America/CAN_Canada/SK_Saskatchewan/CAN_SK_Rockglen.711350_TMYx.zip</v>
      </c>
    </row>
    <row r="510" spans="1:10" x14ac:dyDescent="0.25">
      <c r="A510" t="s">
        <v>6</v>
      </c>
      <c r="B510" t="s">
        <v>94</v>
      </c>
      <c r="C510" t="s">
        <v>276</v>
      </c>
      <c r="D510">
        <v>711360</v>
      </c>
      <c r="E510" t="s">
        <v>10</v>
      </c>
      <c r="F510">
        <v>49.9</v>
      </c>
      <c r="G510">
        <v>-99.95</v>
      </c>
      <c r="H510">
        <v>-6</v>
      </c>
      <c r="I510">
        <v>409.4</v>
      </c>
      <c r="J510" t="str">
        <f>HYPERLINK("https://climate.onebuilding.org/WMO_Region_4_North_and_Central_America/CAN_Canada/MB_Manitoba/CAN_MB_Brandon.RCS.711360_TMYx.2007-2021.zip")</f>
        <v>https://climate.onebuilding.org/WMO_Region_4_North_and_Central_America/CAN_Canada/MB_Manitoba/CAN_MB_Brandon.RCS.711360_TMYx.2007-2021.zip</v>
      </c>
    </row>
    <row r="511" spans="1:10" x14ac:dyDescent="0.25">
      <c r="A511" t="s">
        <v>6</v>
      </c>
      <c r="B511" t="s">
        <v>94</v>
      </c>
      <c r="C511" t="s">
        <v>276</v>
      </c>
      <c r="D511">
        <v>711360</v>
      </c>
      <c r="E511" t="s">
        <v>10</v>
      </c>
      <c r="F511">
        <v>49.909849999999999</v>
      </c>
      <c r="G511">
        <v>-99.945750000000004</v>
      </c>
      <c r="H511">
        <v>-6</v>
      </c>
      <c r="I511">
        <v>409.4</v>
      </c>
      <c r="J511" t="str">
        <f>HYPERLINK("https://climate.onebuilding.org/WMO_Region_4_North_and_Central_America/CAN_Canada/MB_Manitoba/CAN_MB_Brandon.RCS.711360_TMYx.2009-2023.zip")</f>
        <v>https://climate.onebuilding.org/WMO_Region_4_North_and_Central_America/CAN_Canada/MB_Manitoba/CAN_MB_Brandon.RCS.711360_TMYx.2009-2023.zip</v>
      </c>
    </row>
    <row r="512" spans="1:10" x14ac:dyDescent="0.25">
      <c r="A512" t="s">
        <v>6</v>
      </c>
      <c r="B512" t="s">
        <v>94</v>
      </c>
      <c r="C512" t="s">
        <v>276</v>
      </c>
      <c r="D512">
        <v>711360</v>
      </c>
      <c r="E512" t="s">
        <v>10</v>
      </c>
      <c r="F512">
        <v>49.909849999999999</v>
      </c>
      <c r="G512">
        <v>-99.945750000000004</v>
      </c>
      <c r="H512">
        <v>-6</v>
      </c>
      <c r="I512">
        <v>409.4</v>
      </c>
      <c r="J512" t="str">
        <f>HYPERLINK("https://climate.onebuilding.org/WMO_Region_4_North_and_Central_America/CAN_Canada/MB_Manitoba/CAN_MB_Brandon.RCS.711360_TMYx.zip")</f>
        <v>https://climate.onebuilding.org/WMO_Region_4_North_and_Central_America/CAN_Canada/MB_Manitoba/CAN_MB_Brandon.RCS.711360_TMYx.zip</v>
      </c>
    </row>
    <row r="513" spans="1:10" x14ac:dyDescent="0.25">
      <c r="A513" t="s">
        <v>6</v>
      </c>
      <c r="B513" t="s">
        <v>58</v>
      </c>
      <c r="C513" t="s">
        <v>277</v>
      </c>
      <c r="D513">
        <v>711370</v>
      </c>
      <c r="E513" t="s">
        <v>278</v>
      </c>
      <c r="F513">
        <v>49.058300000000003</v>
      </c>
      <c r="G513">
        <v>-107.58580000000001</v>
      </c>
      <c r="H513">
        <v>-6</v>
      </c>
      <c r="I513">
        <v>798</v>
      </c>
      <c r="J513" t="str">
        <f>HYPERLINK("https://climate.onebuilding.org/WMO_Region_4_North_and_Central_America/CAN_Canada/SK_Saskatchewan/CAN_SK_Val.Marie.Southeast.711370_TMYx.2004-2018.zip")</f>
        <v>https://climate.onebuilding.org/WMO_Region_4_North_and_Central_America/CAN_Canada/SK_Saskatchewan/CAN_SK_Val.Marie.Southeast.711370_TMYx.2004-2018.zip</v>
      </c>
    </row>
    <row r="514" spans="1:10" x14ac:dyDescent="0.25">
      <c r="A514" t="s">
        <v>6</v>
      </c>
      <c r="B514" t="s">
        <v>58</v>
      </c>
      <c r="C514" t="s">
        <v>277</v>
      </c>
      <c r="D514">
        <v>711370</v>
      </c>
      <c r="E514" t="s">
        <v>10</v>
      </c>
      <c r="F514">
        <v>49.058300000000003</v>
      </c>
      <c r="G514">
        <v>-107.58580000000001</v>
      </c>
      <c r="H514">
        <v>-6</v>
      </c>
      <c r="I514">
        <v>798</v>
      </c>
      <c r="J514" t="str">
        <f>HYPERLINK("https://climate.onebuilding.org/WMO_Region_4_North_and_Central_America/CAN_Canada/SK_Saskatchewan/CAN_SK_Val.Marie.Southeast.711370_TMYx.2007-2021.zip")</f>
        <v>https://climate.onebuilding.org/WMO_Region_4_North_and_Central_America/CAN_Canada/SK_Saskatchewan/CAN_SK_Val.Marie.Southeast.711370_TMYx.2007-2021.zip</v>
      </c>
    </row>
    <row r="515" spans="1:10" x14ac:dyDescent="0.25">
      <c r="A515" t="s">
        <v>6</v>
      </c>
      <c r="B515" t="s">
        <v>58</v>
      </c>
      <c r="C515" t="s">
        <v>277</v>
      </c>
      <c r="D515">
        <v>711370</v>
      </c>
      <c r="E515" t="s">
        <v>10</v>
      </c>
      <c r="F515">
        <v>49.058300000000003</v>
      </c>
      <c r="G515">
        <v>-107.58580000000001</v>
      </c>
      <c r="H515">
        <v>-6</v>
      </c>
      <c r="I515">
        <v>798</v>
      </c>
      <c r="J515" t="str">
        <f>HYPERLINK("https://climate.onebuilding.org/WMO_Region_4_North_and_Central_America/CAN_Canada/SK_Saskatchewan/CAN_SK_Val.Marie.Southeast.711370_TMYx.2009-2023.zip")</f>
        <v>https://climate.onebuilding.org/WMO_Region_4_North_and_Central_America/CAN_Canada/SK_Saskatchewan/CAN_SK_Val.Marie.Southeast.711370_TMYx.2009-2023.zip</v>
      </c>
    </row>
    <row r="516" spans="1:10" x14ac:dyDescent="0.25">
      <c r="A516" t="s">
        <v>6</v>
      </c>
      <c r="B516" t="s">
        <v>58</v>
      </c>
      <c r="C516" t="s">
        <v>277</v>
      </c>
      <c r="D516">
        <v>711370</v>
      </c>
      <c r="E516" t="s">
        <v>10</v>
      </c>
      <c r="F516">
        <v>49.058300000000003</v>
      </c>
      <c r="G516">
        <v>-107.58580000000001</v>
      </c>
      <c r="H516">
        <v>-6</v>
      </c>
      <c r="I516">
        <v>798</v>
      </c>
      <c r="J516" t="str">
        <f>HYPERLINK("https://climate.onebuilding.org/WMO_Region_4_North_and_Central_America/CAN_Canada/SK_Saskatchewan/CAN_SK_Val.Marie.Southeast.711370_TMYx.zip")</f>
        <v>https://climate.onebuilding.org/WMO_Region_4_North_and_Central_America/CAN_Canada/SK_Saskatchewan/CAN_SK_Val.Marie.Southeast.711370_TMYx.zip</v>
      </c>
    </row>
    <row r="517" spans="1:10" x14ac:dyDescent="0.25">
      <c r="A517" t="s">
        <v>6</v>
      </c>
      <c r="B517" t="s">
        <v>58</v>
      </c>
      <c r="C517" t="s">
        <v>279</v>
      </c>
      <c r="D517">
        <v>711390</v>
      </c>
      <c r="E517" t="s">
        <v>280</v>
      </c>
      <c r="F517">
        <v>49.640599999999999</v>
      </c>
      <c r="G517">
        <v>-109.51439999999999</v>
      </c>
      <c r="H517">
        <v>-6</v>
      </c>
      <c r="I517">
        <v>1271</v>
      </c>
      <c r="J517" t="str">
        <f>HYPERLINK("https://climate.onebuilding.org/WMO_Region_4_North_and_Central_America/CAN_Canada/SK_Saskatchewan/CAN_SK_Cypress.Hills.Park.711390_TMYx.2004-2018.zip")</f>
        <v>https://climate.onebuilding.org/WMO_Region_4_North_and_Central_America/CAN_Canada/SK_Saskatchewan/CAN_SK_Cypress.Hills.Park.711390_TMYx.2004-2018.zip</v>
      </c>
    </row>
    <row r="518" spans="1:10" x14ac:dyDescent="0.25">
      <c r="A518" t="s">
        <v>6</v>
      </c>
      <c r="B518" t="s">
        <v>58</v>
      </c>
      <c r="C518" t="s">
        <v>279</v>
      </c>
      <c r="D518">
        <v>711390</v>
      </c>
      <c r="E518" t="s">
        <v>10</v>
      </c>
      <c r="F518">
        <v>49.640599999999999</v>
      </c>
      <c r="G518">
        <v>-109.51439999999999</v>
      </c>
      <c r="H518">
        <v>-6</v>
      </c>
      <c r="I518">
        <v>1271</v>
      </c>
      <c r="J518" t="str">
        <f>HYPERLINK("https://climate.onebuilding.org/WMO_Region_4_North_and_Central_America/CAN_Canada/SK_Saskatchewan/CAN_SK_Cypress.Hills.Park.711390_TMYx.2007-2021.zip")</f>
        <v>https://climate.onebuilding.org/WMO_Region_4_North_and_Central_America/CAN_Canada/SK_Saskatchewan/CAN_SK_Cypress.Hills.Park.711390_TMYx.2007-2021.zip</v>
      </c>
    </row>
    <row r="519" spans="1:10" x14ac:dyDescent="0.25">
      <c r="A519" t="s">
        <v>6</v>
      </c>
      <c r="B519" t="s">
        <v>58</v>
      </c>
      <c r="C519" t="s">
        <v>279</v>
      </c>
      <c r="D519">
        <v>711390</v>
      </c>
      <c r="E519" t="s">
        <v>10</v>
      </c>
      <c r="F519">
        <v>49.640599999999999</v>
      </c>
      <c r="G519">
        <v>-109.51439999999999</v>
      </c>
      <c r="H519">
        <v>-6</v>
      </c>
      <c r="I519">
        <v>1271</v>
      </c>
      <c r="J519" t="str">
        <f>HYPERLINK("https://climate.onebuilding.org/WMO_Region_4_North_and_Central_America/CAN_Canada/SK_Saskatchewan/CAN_SK_Cypress.Hills.Park.711390_TMYx.2009-2023.zip")</f>
        <v>https://climate.onebuilding.org/WMO_Region_4_North_and_Central_America/CAN_Canada/SK_Saskatchewan/CAN_SK_Cypress.Hills.Park.711390_TMYx.2009-2023.zip</v>
      </c>
    </row>
    <row r="520" spans="1:10" x14ac:dyDescent="0.25">
      <c r="A520" t="s">
        <v>6</v>
      </c>
      <c r="B520" t="s">
        <v>58</v>
      </c>
      <c r="C520" t="s">
        <v>279</v>
      </c>
      <c r="D520">
        <v>711390</v>
      </c>
      <c r="E520" t="s">
        <v>10</v>
      </c>
      <c r="F520">
        <v>49.640599999999999</v>
      </c>
      <c r="G520">
        <v>-109.51439999999999</v>
      </c>
      <c r="H520">
        <v>-6</v>
      </c>
      <c r="I520">
        <v>1271</v>
      </c>
      <c r="J520" t="str">
        <f>HYPERLINK("https://climate.onebuilding.org/WMO_Region_4_North_and_Central_America/CAN_Canada/SK_Saskatchewan/CAN_SK_Cypress.Hills.Park.711390_TMYx.zip")</f>
        <v>https://climate.onebuilding.org/WMO_Region_4_North_and_Central_America/CAN_Canada/SK_Saskatchewan/CAN_SK_Cypress.Hills.Park.711390_TMYx.zip</v>
      </c>
    </row>
    <row r="521" spans="1:10" x14ac:dyDescent="0.25">
      <c r="A521" t="s">
        <v>6</v>
      </c>
      <c r="B521" t="s">
        <v>94</v>
      </c>
      <c r="C521" t="s">
        <v>281</v>
      </c>
      <c r="D521">
        <v>711400</v>
      </c>
      <c r="E521" t="s">
        <v>282</v>
      </c>
      <c r="F521">
        <v>49.91</v>
      </c>
      <c r="G521">
        <v>-99.951899999999995</v>
      </c>
      <c r="H521">
        <v>-6</v>
      </c>
      <c r="I521">
        <v>409.4</v>
      </c>
      <c r="J521" t="str">
        <f>HYPERLINK("https://climate.onebuilding.org/WMO_Region_4_North_and_Central_America/CAN_Canada/MB_Manitoba/CAN_MB_Brandon.Muni.AP.711400_TMYx.2004-2018.zip")</f>
        <v>https://climate.onebuilding.org/WMO_Region_4_North_and_Central_America/CAN_Canada/MB_Manitoba/CAN_MB_Brandon.Muni.AP.711400_TMYx.2004-2018.zip</v>
      </c>
    </row>
    <row r="522" spans="1:10" x14ac:dyDescent="0.25">
      <c r="A522" t="s">
        <v>6</v>
      </c>
      <c r="B522" t="s">
        <v>94</v>
      </c>
      <c r="C522" t="s">
        <v>281</v>
      </c>
      <c r="D522">
        <v>711400</v>
      </c>
      <c r="E522" t="s">
        <v>10</v>
      </c>
      <c r="F522">
        <v>49.903300000000002</v>
      </c>
      <c r="G522">
        <v>-99.945599999999999</v>
      </c>
      <c r="H522">
        <v>-6</v>
      </c>
      <c r="I522">
        <v>409.4</v>
      </c>
      <c r="J522" t="str">
        <f>HYPERLINK("https://climate.onebuilding.org/WMO_Region_4_North_and_Central_America/CAN_Canada/MB_Manitoba/CAN_MB_Brandon.Muni.AP.711400_TMYx.2007-2021.zip")</f>
        <v>https://climate.onebuilding.org/WMO_Region_4_North_and_Central_America/CAN_Canada/MB_Manitoba/CAN_MB_Brandon.Muni.AP.711400_TMYx.2007-2021.zip</v>
      </c>
    </row>
    <row r="523" spans="1:10" x14ac:dyDescent="0.25">
      <c r="A523" t="s">
        <v>6</v>
      </c>
      <c r="B523" t="s">
        <v>94</v>
      </c>
      <c r="C523" t="s">
        <v>281</v>
      </c>
      <c r="D523">
        <v>711400</v>
      </c>
      <c r="E523" t="s">
        <v>10</v>
      </c>
      <c r="F523">
        <v>49.903300000000002</v>
      </c>
      <c r="G523">
        <v>-99.945599999999999</v>
      </c>
      <c r="H523">
        <v>-6</v>
      </c>
      <c r="I523">
        <v>409.4</v>
      </c>
      <c r="J523" t="str">
        <f>HYPERLINK("https://climate.onebuilding.org/WMO_Region_4_North_and_Central_America/CAN_Canada/MB_Manitoba/CAN_MB_Brandon.Muni.AP.711400_TMYx.2009-2023.zip")</f>
        <v>https://climate.onebuilding.org/WMO_Region_4_North_and_Central_America/CAN_Canada/MB_Manitoba/CAN_MB_Brandon.Muni.AP.711400_TMYx.2009-2023.zip</v>
      </c>
    </row>
    <row r="524" spans="1:10" x14ac:dyDescent="0.25">
      <c r="A524" t="s">
        <v>6</v>
      </c>
      <c r="B524" t="s">
        <v>94</v>
      </c>
      <c r="C524" t="s">
        <v>281</v>
      </c>
      <c r="D524">
        <v>711400</v>
      </c>
      <c r="E524" t="s">
        <v>10</v>
      </c>
      <c r="F524">
        <v>49.903300000000002</v>
      </c>
      <c r="G524">
        <v>-99.945599999999999</v>
      </c>
      <c r="H524">
        <v>-6</v>
      </c>
      <c r="I524">
        <v>409.4</v>
      </c>
      <c r="J524" t="str">
        <f>HYPERLINK("https://climate.onebuilding.org/WMO_Region_4_North_and_Central_America/CAN_Canada/MB_Manitoba/CAN_MB_Brandon.Muni.AP.711400_TMYx.zip")</f>
        <v>https://climate.onebuilding.org/WMO_Region_4_North_and_Central_America/CAN_Canada/MB_Manitoba/CAN_MB_Brandon.Muni.AP.711400_TMYx.zip</v>
      </c>
    </row>
    <row r="525" spans="1:10" x14ac:dyDescent="0.25">
      <c r="A525" t="s">
        <v>6</v>
      </c>
      <c r="B525" t="s">
        <v>94</v>
      </c>
      <c r="C525" t="s">
        <v>283</v>
      </c>
      <c r="D525">
        <v>711405</v>
      </c>
      <c r="E525" t="s">
        <v>10</v>
      </c>
      <c r="F525">
        <v>50.067</v>
      </c>
      <c r="G525">
        <v>-96.516999999999996</v>
      </c>
      <c r="H525">
        <v>-6</v>
      </c>
      <c r="I525">
        <v>274</v>
      </c>
      <c r="J525" t="str">
        <f>HYPERLINK("https://climate.onebuilding.org/WMO_Region_4_North_and_Central_America/CAN_Canada/MB_Manitoba/CAN_MB_Beausejour.711405_TMYx.zip")</f>
        <v>https://climate.onebuilding.org/WMO_Region_4_North_and_Central_America/CAN_Canada/MB_Manitoba/CAN_MB_Beausejour.711405_TMYx.zip</v>
      </c>
    </row>
    <row r="526" spans="1:10" x14ac:dyDescent="0.25">
      <c r="A526" t="s">
        <v>6</v>
      </c>
      <c r="B526" t="s">
        <v>42</v>
      </c>
      <c r="C526" t="s">
        <v>284</v>
      </c>
      <c r="D526">
        <v>711410</v>
      </c>
      <c r="E526" t="s">
        <v>285</v>
      </c>
      <c r="F526">
        <v>70.632800000000003</v>
      </c>
      <c r="G526">
        <v>-100.2672</v>
      </c>
      <c r="H526">
        <v>-6</v>
      </c>
      <c r="I526">
        <v>0</v>
      </c>
      <c r="J526" t="str">
        <f>HYPERLINK("https://climate.onebuilding.org/WMO_Region_4_North_and_Central_America/CAN_Canada/NU_Nunavut/CAN_NU_Gateshead.Island.711410_TMYx.2004-2018.zip")</f>
        <v>https://climate.onebuilding.org/WMO_Region_4_North_and_Central_America/CAN_Canada/NU_Nunavut/CAN_NU_Gateshead.Island.711410_TMYx.2004-2018.zip</v>
      </c>
    </row>
    <row r="527" spans="1:10" x14ac:dyDescent="0.25">
      <c r="A527" t="s">
        <v>6</v>
      </c>
      <c r="B527" t="s">
        <v>42</v>
      </c>
      <c r="C527" t="s">
        <v>284</v>
      </c>
      <c r="D527">
        <v>711410</v>
      </c>
      <c r="E527" t="s">
        <v>10</v>
      </c>
      <c r="F527">
        <v>70.632800000000003</v>
      </c>
      <c r="G527">
        <v>-100.2672</v>
      </c>
      <c r="H527">
        <v>-6</v>
      </c>
      <c r="I527">
        <v>0</v>
      </c>
      <c r="J527" t="str">
        <f>HYPERLINK("https://climate.onebuilding.org/WMO_Region_4_North_and_Central_America/CAN_Canada/NU_Nunavut/CAN_NU_Gateshead.Island.711410_TMYx.2007-2021.zip")</f>
        <v>https://climate.onebuilding.org/WMO_Region_4_North_and_Central_America/CAN_Canada/NU_Nunavut/CAN_NU_Gateshead.Island.711410_TMYx.2007-2021.zip</v>
      </c>
    </row>
    <row r="528" spans="1:10" x14ac:dyDescent="0.25">
      <c r="A528" t="s">
        <v>6</v>
      </c>
      <c r="B528" t="s">
        <v>42</v>
      </c>
      <c r="C528" t="s">
        <v>284</v>
      </c>
      <c r="D528">
        <v>711410</v>
      </c>
      <c r="E528" t="s">
        <v>10</v>
      </c>
      <c r="F528">
        <v>70.632800000000003</v>
      </c>
      <c r="G528">
        <v>-100.2672</v>
      </c>
      <c r="H528">
        <v>-6</v>
      </c>
      <c r="I528">
        <v>0</v>
      </c>
      <c r="J528" t="str">
        <f>HYPERLINK("https://climate.onebuilding.org/WMO_Region_4_North_and_Central_America/CAN_Canada/NU_Nunavut/CAN_NU_Gateshead.Island.711410_TMYx.2009-2023.zip")</f>
        <v>https://climate.onebuilding.org/WMO_Region_4_North_and_Central_America/CAN_Canada/NU_Nunavut/CAN_NU_Gateshead.Island.711410_TMYx.2009-2023.zip</v>
      </c>
    </row>
    <row r="529" spans="1:10" x14ac:dyDescent="0.25">
      <c r="A529" t="s">
        <v>6</v>
      </c>
      <c r="B529" t="s">
        <v>42</v>
      </c>
      <c r="C529" t="s">
        <v>284</v>
      </c>
      <c r="D529">
        <v>711410</v>
      </c>
      <c r="E529" t="s">
        <v>10</v>
      </c>
      <c r="F529">
        <v>70.632800000000003</v>
      </c>
      <c r="G529">
        <v>-100.2672</v>
      </c>
      <c r="H529">
        <v>-6</v>
      </c>
      <c r="I529">
        <v>0</v>
      </c>
      <c r="J529" t="str">
        <f>HYPERLINK("https://climate.onebuilding.org/WMO_Region_4_North_and_Central_America/CAN_Canada/NU_Nunavut/CAN_NU_Gateshead.Island.711410_TMYx.zip")</f>
        <v>https://climate.onebuilding.org/WMO_Region_4_North_and_Central_America/CAN_Canada/NU_Nunavut/CAN_NU_Gateshead.Island.711410_TMYx.zip</v>
      </c>
    </row>
    <row r="530" spans="1:10" x14ac:dyDescent="0.25">
      <c r="A530" t="s">
        <v>6</v>
      </c>
      <c r="B530" t="s">
        <v>58</v>
      </c>
      <c r="C530" t="s">
        <v>286</v>
      </c>
      <c r="D530">
        <v>711420</v>
      </c>
      <c r="E530" t="s">
        <v>287</v>
      </c>
      <c r="F530">
        <v>50.291899999999998</v>
      </c>
      <c r="G530">
        <v>-107.6906</v>
      </c>
      <c r="H530">
        <v>-6</v>
      </c>
      <c r="I530">
        <v>816.9</v>
      </c>
      <c r="J530" t="str">
        <f>HYPERLINK("https://climate.onebuilding.org/WMO_Region_4_North_and_Central_America/CAN_Canada/SK_Saskatchewan/CAN_SK_Swift.Current.AP.711420_TMYx.2004-2018.zip")</f>
        <v>https://climate.onebuilding.org/WMO_Region_4_North_and_Central_America/CAN_Canada/SK_Saskatchewan/CAN_SK_Swift.Current.AP.711420_TMYx.2004-2018.zip</v>
      </c>
    </row>
    <row r="531" spans="1:10" x14ac:dyDescent="0.25">
      <c r="A531" t="s">
        <v>6</v>
      </c>
      <c r="B531" t="s">
        <v>58</v>
      </c>
      <c r="C531" t="s">
        <v>286</v>
      </c>
      <c r="D531">
        <v>711420</v>
      </c>
      <c r="E531" t="s">
        <v>10</v>
      </c>
      <c r="F531">
        <v>50.29</v>
      </c>
      <c r="G531">
        <v>-107.69</v>
      </c>
      <c r="H531">
        <v>-6</v>
      </c>
      <c r="I531">
        <v>816.9</v>
      </c>
      <c r="J531" t="str">
        <f>HYPERLINK("https://climate.onebuilding.org/WMO_Region_4_North_and_Central_America/CAN_Canada/SK_Saskatchewan/CAN_SK_Swift.Current.AP.711420_TMYx.2007-2021.zip")</f>
        <v>https://climate.onebuilding.org/WMO_Region_4_North_and_Central_America/CAN_Canada/SK_Saskatchewan/CAN_SK_Swift.Current.AP.711420_TMYx.2007-2021.zip</v>
      </c>
    </row>
    <row r="532" spans="1:10" x14ac:dyDescent="0.25">
      <c r="A532" t="s">
        <v>6</v>
      </c>
      <c r="B532" t="s">
        <v>58</v>
      </c>
      <c r="C532" t="s">
        <v>286</v>
      </c>
      <c r="D532">
        <v>711420</v>
      </c>
      <c r="E532" t="s">
        <v>10</v>
      </c>
      <c r="F532">
        <v>50.29</v>
      </c>
      <c r="G532">
        <v>-107.69</v>
      </c>
      <c r="H532">
        <v>-6</v>
      </c>
      <c r="I532">
        <v>816.9</v>
      </c>
      <c r="J532" t="str">
        <f>HYPERLINK("https://climate.onebuilding.org/WMO_Region_4_North_and_Central_America/CAN_Canada/SK_Saskatchewan/CAN_SK_Swift.Current.AP.711420_TMYx.2009-2023.zip")</f>
        <v>https://climate.onebuilding.org/WMO_Region_4_North_and_Central_America/CAN_Canada/SK_Saskatchewan/CAN_SK_Swift.Current.AP.711420_TMYx.2009-2023.zip</v>
      </c>
    </row>
    <row r="533" spans="1:10" x14ac:dyDescent="0.25">
      <c r="A533" t="s">
        <v>6</v>
      </c>
      <c r="B533" t="s">
        <v>58</v>
      </c>
      <c r="C533" t="s">
        <v>286</v>
      </c>
      <c r="D533">
        <v>711420</v>
      </c>
      <c r="E533" t="s">
        <v>10</v>
      </c>
      <c r="F533">
        <v>50.29</v>
      </c>
      <c r="G533">
        <v>-107.69</v>
      </c>
      <c r="H533">
        <v>-6</v>
      </c>
      <c r="I533">
        <v>816.9</v>
      </c>
      <c r="J533" t="str">
        <f>HYPERLINK("https://climate.onebuilding.org/WMO_Region_4_North_and_Central_America/CAN_Canada/SK_Saskatchewan/CAN_SK_Swift.Current.AP.711420_TMYx.zip")</f>
        <v>https://climate.onebuilding.org/WMO_Region_4_North_and_Central_America/CAN_Canada/SK_Saskatchewan/CAN_SK_Swift.Current.AP.711420_TMYx.zip</v>
      </c>
    </row>
    <row r="534" spans="1:10" x14ac:dyDescent="0.25">
      <c r="A534" t="s">
        <v>6</v>
      </c>
      <c r="B534" t="s">
        <v>94</v>
      </c>
      <c r="C534" t="s">
        <v>288</v>
      </c>
      <c r="D534">
        <v>711430</v>
      </c>
      <c r="E534" t="s">
        <v>10</v>
      </c>
      <c r="F534">
        <v>51.75</v>
      </c>
      <c r="G534">
        <v>-99.9</v>
      </c>
      <c r="H534">
        <v>-6</v>
      </c>
      <c r="I534">
        <v>256</v>
      </c>
      <c r="J534" t="str">
        <f>HYPERLINK("https://climate.onebuilding.org/WMO_Region_4_North_and_Central_America/CAN_Canada/MB_Manitoba/CAN_MB_Bachelors.Island.Marine.711430_TMYx.zip")</f>
        <v>https://climate.onebuilding.org/WMO_Region_4_North_and_Central_America/CAN_Canada/MB_Manitoba/CAN_MB_Bachelors.Island.Marine.711430_TMYx.zip</v>
      </c>
    </row>
    <row r="535" spans="1:10" x14ac:dyDescent="0.25">
      <c r="A535" t="s">
        <v>6</v>
      </c>
      <c r="B535" t="s">
        <v>94</v>
      </c>
      <c r="C535" t="s">
        <v>289</v>
      </c>
      <c r="D535">
        <v>711440</v>
      </c>
      <c r="E535" t="s">
        <v>290</v>
      </c>
      <c r="F535">
        <v>50.633000000000003</v>
      </c>
      <c r="G535">
        <v>-98.033000000000001</v>
      </c>
      <c r="H535">
        <v>-6</v>
      </c>
      <c r="I535">
        <v>250</v>
      </c>
      <c r="J535" t="str">
        <f>HYPERLINK("https://climate.onebuilding.org/WMO_Region_4_North_and_Central_America/CAN_Canada/MB_Manitoba/CAN_MB_Oak.Point.Marine.711440_TMYx.2004-2018.zip")</f>
        <v>https://climate.onebuilding.org/WMO_Region_4_North_and_Central_America/CAN_Canada/MB_Manitoba/CAN_MB_Oak.Point.Marine.711440_TMYx.2004-2018.zip</v>
      </c>
    </row>
    <row r="536" spans="1:10" x14ac:dyDescent="0.25">
      <c r="A536" t="s">
        <v>6</v>
      </c>
      <c r="B536" t="s">
        <v>94</v>
      </c>
      <c r="C536" t="s">
        <v>289</v>
      </c>
      <c r="D536">
        <v>711440</v>
      </c>
      <c r="E536" t="s">
        <v>10</v>
      </c>
      <c r="F536">
        <v>50.5</v>
      </c>
      <c r="G536">
        <v>-98.037000000000006</v>
      </c>
      <c r="H536">
        <v>-6</v>
      </c>
      <c r="I536">
        <v>250</v>
      </c>
      <c r="J536" t="str">
        <f>HYPERLINK("https://climate.onebuilding.org/WMO_Region_4_North_and_Central_America/CAN_Canada/MB_Manitoba/CAN_MB_Oak.Point.Marine.711440_TMYx.2007-2021.zip")</f>
        <v>https://climate.onebuilding.org/WMO_Region_4_North_and_Central_America/CAN_Canada/MB_Manitoba/CAN_MB_Oak.Point.Marine.711440_TMYx.2007-2021.zip</v>
      </c>
    </row>
    <row r="537" spans="1:10" x14ac:dyDescent="0.25">
      <c r="A537" t="s">
        <v>6</v>
      </c>
      <c r="B537" t="s">
        <v>94</v>
      </c>
      <c r="C537" t="s">
        <v>289</v>
      </c>
      <c r="D537">
        <v>711440</v>
      </c>
      <c r="E537" t="s">
        <v>10</v>
      </c>
      <c r="F537">
        <v>50.5</v>
      </c>
      <c r="G537">
        <v>-98.037000000000006</v>
      </c>
      <c r="H537">
        <v>-6</v>
      </c>
      <c r="I537">
        <v>250</v>
      </c>
      <c r="J537" t="str">
        <f>HYPERLINK("https://climate.onebuilding.org/WMO_Region_4_North_and_Central_America/CAN_Canada/MB_Manitoba/CAN_MB_Oak.Point.Marine.711440_TMYx.2009-2023.zip")</f>
        <v>https://climate.onebuilding.org/WMO_Region_4_North_and_Central_America/CAN_Canada/MB_Manitoba/CAN_MB_Oak.Point.Marine.711440_TMYx.2009-2023.zip</v>
      </c>
    </row>
    <row r="538" spans="1:10" x14ac:dyDescent="0.25">
      <c r="A538" t="s">
        <v>6</v>
      </c>
      <c r="B538" t="s">
        <v>94</v>
      </c>
      <c r="C538" t="s">
        <v>289</v>
      </c>
      <c r="D538">
        <v>711440</v>
      </c>
      <c r="E538" t="s">
        <v>10</v>
      </c>
      <c r="F538">
        <v>50.5</v>
      </c>
      <c r="G538">
        <v>-98.037000000000006</v>
      </c>
      <c r="H538">
        <v>-6</v>
      </c>
      <c r="I538">
        <v>250</v>
      </c>
      <c r="J538" t="str">
        <f>HYPERLINK("https://climate.onebuilding.org/WMO_Region_4_North_and_Central_America/CAN_Canada/MB_Manitoba/CAN_MB_Oak.Point.Marine.711440_TMYx.zip")</f>
        <v>https://climate.onebuilding.org/WMO_Region_4_North_and_Central_America/CAN_Canada/MB_Manitoba/CAN_MB_Oak.Point.Marine.711440_TMYx.zip</v>
      </c>
    </row>
    <row r="539" spans="1:10" x14ac:dyDescent="0.25">
      <c r="A539" t="s">
        <v>6</v>
      </c>
      <c r="B539" t="s">
        <v>94</v>
      </c>
      <c r="C539" t="s">
        <v>291</v>
      </c>
      <c r="D539">
        <v>711450</v>
      </c>
      <c r="E539" t="s">
        <v>292</v>
      </c>
      <c r="F539">
        <v>53.856999999999999</v>
      </c>
      <c r="G539">
        <v>-94.656899999999993</v>
      </c>
      <c r="H539">
        <v>-6</v>
      </c>
      <c r="I539">
        <v>235.6</v>
      </c>
      <c r="J539" t="str">
        <f>HYPERLINK("https://climate.onebuilding.org/WMO_Region_4_North_and_Central_America/CAN_Canada/MB_Manitoba/CAN_MB_Island.Lake.AP.711450_TMYx.2004-2018.zip")</f>
        <v>https://climate.onebuilding.org/WMO_Region_4_North_and_Central_America/CAN_Canada/MB_Manitoba/CAN_MB_Island.Lake.AP.711450_TMYx.2004-2018.zip</v>
      </c>
    </row>
    <row r="540" spans="1:10" x14ac:dyDescent="0.25">
      <c r="A540" t="s">
        <v>6</v>
      </c>
      <c r="B540" t="s">
        <v>94</v>
      </c>
      <c r="C540" t="s">
        <v>291</v>
      </c>
      <c r="D540">
        <v>711450</v>
      </c>
      <c r="E540" t="s">
        <v>10</v>
      </c>
      <c r="F540">
        <v>53.853999999999999</v>
      </c>
      <c r="G540">
        <v>-94.653000000000006</v>
      </c>
      <c r="H540">
        <v>-6</v>
      </c>
      <c r="I540">
        <v>235.6</v>
      </c>
      <c r="J540" t="str">
        <f>HYPERLINK("https://climate.onebuilding.org/WMO_Region_4_North_and_Central_America/CAN_Canada/MB_Manitoba/CAN_MB_Island.Lake.AP.711450_TMYx.2007-2021.zip")</f>
        <v>https://climate.onebuilding.org/WMO_Region_4_North_and_Central_America/CAN_Canada/MB_Manitoba/CAN_MB_Island.Lake.AP.711450_TMYx.2007-2021.zip</v>
      </c>
    </row>
    <row r="541" spans="1:10" x14ac:dyDescent="0.25">
      <c r="A541" t="s">
        <v>6</v>
      </c>
      <c r="B541" t="s">
        <v>94</v>
      </c>
      <c r="C541" t="s">
        <v>291</v>
      </c>
      <c r="D541">
        <v>711450</v>
      </c>
      <c r="E541" t="s">
        <v>10</v>
      </c>
      <c r="F541">
        <v>53.853999999999999</v>
      </c>
      <c r="G541">
        <v>-94.653000000000006</v>
      </c>
      <c r="H541">
        <v>-6</v>
      </c>
      <c r="I541">
        <v>235.6</v>
      </c>
      <c r="J541" t="str">
        <f>HYPERLINK("https://climate.onebuilding.org/WMO_Region_4_North_and_Central_America/CAN_Canada/MB_Manitoba/CAN_MB_Island.Lake.AP.711450_TMYx.2009-2023.zip")</f>
        <v>https://climate.onebuilding.org/WMO_Region_4_North_and_Central_America/CAN_Canada/MB_Manitoba/CAN_MB_Island.Lake.AP.711450_TMYx.2009-2023.zip</v>
      </c>
    </row>
    <row r="542" spans="1:10" x14ac:dyDescent="0.25">
      <c r="A542" t="s">
        <v>6</v>
      </c>
      <c r="B542" t="s">
        <v>94</v>
      </c>
      <c r="C542" t="s">
        <v>291</v>
      </c>
      <c r="D542">
        <v>711450</v>
      </c>
      <c r="E542" t="s">
        <v>10</v>
      </c>
      <c r="F542">
        <v>53.853999999999999</v>
      </c>
      <c r="G542">
        <v>-94.653000000000006</v>
      </c>
      <c r="H542">
        <v>-6</v>
      </c>
      <c r="I542">
        <v>235.6</v>
      </c>
      <c r="J542" t="str">
        <f>HYPERLINK("https://climate.onebuilding.org/WMO_Region_4_North_and_Central_America/CAN_Canada/MB_Manitoba/CAN_MB_Island.Lake.AP.711450_TMYx.zip")</f>
        <v>https://climate.onebuilding.org/WMO_Region_4_North_and_Central_America/CAN_Canada/MB_Manitoba/CAN_MB_Island.Lake.AP.711450_TMYx.zip</v>
      </c>
    </row>
    <row r="543" spans="1:10" x14ac:dyDescent="0.25">
      <c r="A543" t="s">
        <v>6</v>
      </c>
      <c r="B543" t="s">
        <v>94</v>
      </c>
      <c r="C543" t="s">
        <v>293</v>
      </c>
      <c r="D543">
        <v>711470</v>
      </c>
      <c r="E543" t="s">
        <v>294</v>
      </c>
      <c r="F543">
        <v>49.498100000000001</v>
      </c>
      <c r="G543">
        <v>-98.029700000000005</v>
      </c>
      <c r="H543">
        <v>-6</v>
      </c>
      <c r="I543">
        <v>268.2</v>
      </c>
      <c r="J543" t="str">
        <f>HYPERLINK("https://climate.onebuilding.org/WMO_Region_4_North_and_Central_America/CAN_Canada/MB_Manitoba/CAN_MB_Carman-Univ.of.Manitoba.Research.Farm.CS.711470_TMYx.2004-2018.zip")</f>
        <v>https://climate.onebuilding.org/WMO_Region_4_North_and_Central_America/CAN_Canada/MB_Manitoba/CAN_MB_Carman-Univ.of.Manitoba.Research.Farm.CS.711470_TMYx.2004-2018.zip</v>
      </c>
    </row>
    <row r="544" spans="1:10" x14ac:dyDescent="0.25">
      <c r="A544" t="s">
        <v>6</v>
      </c>
      <c r="B544" t="s">
        <v>94</v>
      </c>
      <c r="C544" t="s">
        <v>293</v>
      </c>
      <c r="D544">
        <v>711470</v>
      </c>
      <c r="E544" t="s">
        <v>10</v>
      </c>
      <c r="F544">
        <v>49.5</v>
      </c>
      <c r="G544">
        <v>-98.03</v>
      </c>
      <c r="H544">
        <v>-6</v>
      </c>
      <c r="I544">
        <v>268.2</v>
      </c>
      <c r="J544" t="str">
        <f>HYPERLINK("https://climate.onebuilding.org/WMO_Region_4_North_and_Central_America/CAN_Canada/MB_Manitoba/CAN_MB_Carman-Univ.of.Manitoba.Research.Farm.CS.711470_TMYx.2007-2021.zip")</f>
        <v>https://climate.onebuilding.org/WMO_Region_4_North_and_Central_America/CAN_Canada/MB_Manitoba/CAN_MB_Carman-Univ.of.Manitoba.Research.Farm.CS.711470_TMYx.2007-2021.zip</v>
      </c>
    </row>
    <row r="545" spans="1:10" x14ac:dyDescent="0.25">
      <c r="A545" t="s">
        <v>6</v>
      </c>
      <c r="B545" t="s">
        <v>94</v>
      </c>
      <c r="C545" t="s">
        <v>293</v>
      </c>
      <c r="D545">
        <v>711470</v>
      </c>
      <c r="E545" t="s">
        <v>10</v>
      </c>
      <c r="F545">
        <v>49.5</v>
      </c>
      <c r="G545">
        <v>-98.03</v>
      </c>
      <c r="H545">
        <v>-6</v>
      </c>
      <c r="I545">
        <v>268.2</v>
      </c>
      <c r="J545" t="str">
        <f>HYPERLINK("https://climate.onebuilding.org/WMO_Region_4_North_and_Central_America/CAN_Canada/MB_Manitoba/CAN_MB_Carman-Univ.of.Manitoba.Research.Farm.CS.711470_TMYx.2009-2023.zip")</f>
        <v>https://climate.onebuilding.org/WMO_Region_4_North_and_Central_America/CAN_Canada/MB_Manitoba/CAN_MB_Carman-Univ.of.Manitoba.Research.Farm.CS.711470_TMYx.2009-2023.zip</v>
      </c>
    </row>
    <row r="546" spans="1:10" x14ac:dyDescent="0.25">
      <c r="A546" t="s">
        <v>6</v>
      </c>
      <c r="B546" t="s">
        <v>94</v>
      </c>
      <c r="C546" t="s">
        <v>293</v>
      </c>
      <c r="D546">
        <v>711470</v>
      </c>
      <c r="E546" t="s">
        <v>10</v>
      </c>
      <c r="F546">
        <v>49.5</v>
      </c>
      <c r="G546">
        <v>-98.03</v>
      </c>
      <c r="H546">
        <v>-6</v>
      </c>
      <c r="I546">
        <v>268.2</v>
      </c>
      <c r="J546" t="str">
        <f>HYPERLINK("https://climate.onebuilding.org/WMO_Region_4_North_and_Central_America/CAN_Canada/MB_Manitoba/CAN_MB_Carman-Univ.of.Manitoba.Research.Farm.CS.711470_TMYx.zip")</f>
        <v>https://climate.onebuilding.org/WMO_Region_4_North_and_Central_America/CAN_Canada/MB_Manitoba/CAN_MB_Carman-Univ.of.Manitoba.Research.Farm.CS.711470_TMYx.zip</v>
      </c>
    </row>
    <row r="547" spans="1:10" x14ac:dyDescent="0.25">
      <c r="A547" t="s">
        <v>6</v>
      </c>
      <c r="B547" t="s">
        <v>94</v>
      </c>
      <c r="C547" t="s">
        <v>295</v>
      </c>
      <c r="D547">
        <v>711480</v>
      </c>
      <c r="E547" t="s">
        <v>296</v>
      </c>
      <c r="F547">
        <v>49.191099999999999</v>
      </c>
      <c r="G547">
        <v>-98.905000000000001</v>
      </c>
      <c r="H547">
        <v>-6</v>
      </c>
      <c r="I547">
        <v>474.6</v>
      </c>
      <c r="J547" t="str">
        <f>HYPERLINK("https://climate.onebuilding.org/WMO_Region_4_North_and_Central_America/CAN_Canada/MB_Manitoba/CAN_MB_Pilot.Mound.711480_TMYx.2004-2018.zip")</f>
        <v>https://climate.onebuilding.org/WMO_Region_4_North_and_Central_America/CAN_Canada/MB_Manitoba/CAN_MB_Pilot.Mound.711480_TMYx.2004-2018.zip</v>
      </c>
    </row>
    <row r="548" spans="1:10" x14ac:dyDescent="0.25">
      <c r="A548" t="s">
        <v>6</v>
      </c>
      <c r="B548" t="s">
        <v>94</v>
      </c>
      <c r="C548" t="s">
        <v>295</v>
      </c>
      <c r="D548">
        <v>711480</v>
      </c>
      <c r="E548" t="s">
        <v>10</v>
      </c>
      <c r="F548">
        <v>49.188099999999999</v>
      </c>
      <c r="G548">
        <v>-98.906400000000005</v>
      </c>
      <c r="H548">
        <v>-6</v>
      </c>
      <c r="I548">
        <v>474.6</v>
      </c>
      <c r="J548" t="str">
        <f>HYPERLINK("https://climate.onebuilding.org/WMO_Region_4_North_and_Central_America/CAN_Canada/MB_Manitoba/CAN_MB_Pilot.Mound.711480_TMYx.2007-2021.zip")</f>
        <v>https://climate.onebuilding.org/WMO_Region_4_North_and_Central_America/CAN_Canada/MB_Manitoba/CAN_MB_Pilot.Mound.711480_TMYx.2007-2021.zip</v>
      </c>
    </row>
    <row r="549" spans="1:10" x14ac:dyDescent="0.25">
      <c r="A549" t="s">
        <v>6</v>
      </c>
      <c r="B549" t="s">
        <v>94</v>
      </c>
      <c r="C549" t="s">
        <v>295</v>
      </c>
      <c r="D549">
        <v>711480</v>
      </c>
      <c r="E549" t="s">
        <v>10</v>
      </c>
      <c r="F549">
        <v>49.188099999999999</v>
      </c>
      <c r="G549">
        <v>-98.906400000000005</v>
      </c>
      <c r="H549">
        <v>-6</v>
      </c>
      <c r="I549">
        <v>474.6</v>
      </c>
      <c r="J549" t="str">
        <f>HYPERLINK("https://climate.onebuilding.org/WMO_Region_4_North_and_Central_America/CAN_Canada/MB_Manitoba/CAN_MB_Pilot.Mound.711480_TMYx.2009-2023.zip")</f>
        <v>https://climate.onebuilding.org/WMO_Region_4_North_and_Central_America/CAN_Canada/MB_Manitoba/CAN_MB_Pilot.Mound.711480_TMYx.2009-2023.zip</v>
      </c>
    </row>
    <row r="550" spans="1:10" x14ac:dyDescent="0.25">
      <c r="A550" t="s">
        <v>6</v>
      </c>
      <c r="B550" t="s">
        <v>94</v>
      </c>
      <c r="C550" t="s">
        <v>295</v>
      </c>
      <c r="D550">
        <v>711480</v>
      </c>
      <c r="E550" t="s">
        <v>10</v>
      </c>
      <c r="F550">
        <v>49.188099999999999</v>
      </c>
      <c r="G550">
        <v>-98.906400000000005</v>
      </c>
      <c r="H550">
        <v>-6</v>
      </c>
      <c r="I550">
        <v>474.6</v>
      </c>
      <c r="J550" t="str">
        <f>HYPERLINK("https://climate.onebuilding.org/WMO_Region_4_North_and_Central_America/CAN_Canada/MB_Manitoba/CAN_MB_Pilot.Mound.711480_TMYx.zip")</f>
        <v>https://climate.onebuilding.org/WMO_Region_4_North_and_Central_America/CAN_Canada/MB_Manitoba/CAN_MB_Pilot.Mound.711480_TMYx.zip</v>
      </c>
    </row>
    <row r="551" spans="1:10" x14ac:dyDescent="0.25">
      <c r="A551" t="s">
        <v>6</v>
      </c>
      <c r="B551" t="s">
        <v>94</v>
      </c>
      <c r="C551" t="s">
        <v>297</v>
      </c>
      <c r="D551">
        <v>711490</v>
      </c>
      <c r="E551" t="s">
        <v>298</v>
      </c>
      <c r="F551">
        <v>50.7119</v>
      </c>
      <c r="G551">
        <v>-99.53</v>
      </c>
      <c r="H551">
        <v>-6</v>
      </c>
      <c r="I551">
        <v>351</v>
      </c>
      <c r="J551" t="str">
        <f>HYPERLINK("https://climate.onebuilding.org/WMO_Region_4_North_and_Central_America/CAN_Canada/MB_Manitoba/CAN_MB_McCreary.711490_TMYx.2004-2018.zip")</f>
        <v>https://climate.onebuilding.org/WMO_Region_4_North_and_Central_America/CAN_Canada/MB_Manitoba/CAN_MB_McCreary.711490_TMYx.2004-2018.zip</v>
      </c>
    </row>
    <row r="552" spans="1:10" x14ac:dyDescent="0.25">
      <c r="A552" t="s">
        <v>6</v>
      </c>
      <c r="B552" t="s">
        <v>94</v>
      </c>
      <c r="C552" t="s">
        <v>297</v>
      </c>
      <c r="D552">
        <v>711490</v>
      </c>
      <c r="E552" t="s">
        <v>10</v>
      </c>
      <c r="F552">
        <v>50.7119</v>
      </c>
      <c r="G552">
        <v>-99.53</v>
      </c>
      <c r="H552">
        <v>-6</v>
      </c>
      <c r="I552">
        <v>351</v>
      </c>
      <c r="J552" t="str">
        <f>HYPERLINK("https://climate.onebuilding.org/WMO_Region_4_North_and_Central_America/CAN_Canada/MB_Manitoba/CAN_MB_McCreary.711490_TMYx.2007-2021.zip")</f>
        <v>https://climate.onebuilding.org/WMO_Region_4_North_and_Central_America/CAN_Canada/MB_Manitoba/CAN_MB_McCreary.711490_TMYx.2007-2021.zip</v>
      </c>
    </row>
    <row r="553" spans="1:10" x14ac:dyDescent="0.25">
      <c r="A553" t="s">
        <v>6</v>
      </c>
      <c r="B553" t="s">
        <v>94</v>
      </c>
      <c r="C553" t="s">
        <v>297</v>
      </c>
      <c r="D553">
        <v>711490</v>
      </c>
      <c r="E553" t="s">
        <v>10</v>
      </c>
      <c r="F553">
        <v>50.7119</v>
      </c>
      <c r="G553">
        <v>-99.53</v>
      </c>
      <c r="H553">
        <v>-6</v>
      </c>
      <c r="I553">
        <v>351</v>
      </c>
      <c r="J553" t="str">
        <f>HYPERLINK("https://climate.onebuilding.org/WMO_Region_4_North_and_Central_America/CAN_Canada/MB_Manitoba/CAN_MB_McCreary.711490_TMYx.2009-2023.zip")</f>
        <v>https://climate.onebuilding.org/WMO_Region_4_North_and_Central_America/CAN_Canada/MB_Manitoba/CAN_MB_McCreary.711490_TMYx.2009-2023.zip</v>
      </c>
    </row>
    <row r="554" spans="1:10" x14ac:dyDescent="0.25">
      <c r="A554" t="s">
        <v>6</v>
      </c>
      <c r="B554" t="s">
        <v>94</v>
      </c>
      <c r="C554" t="s">
        <v>297</v>
      </c>
      <c r="D554">
        <v>711490</v>
      </c>
      <c r="E554" t="s">
        <v>10</v>
      </c>
      <c r="F554">
        <v>50.7119</v>
      </c>
      <c r="G554">
        <v>-99.53</v>
      </c>
      <c r="H554">
        <v>-6</v>
      </c>
      <c r="I554">
        <v>351</v>
      </c>
      <c r="J554" t="str">
        <f>HYPERLINK("https://climate.onebuilding.org/WMO_Region_4_North_and_Central_America/CAN_Canada/MB_Manitoba/CAN_MB_McCreary.711490_TMYx.zip")</f>
        <v>https://climate.onebuilding.org/WMO_Region_4_North_and_Central_America/CAN_Canada/MB_Manitoba/CAN_MB_McCreary.711490_TMYx.zip</v>
      </c>
    </row>
    <row r="555" spans="1:10" x14ac:dyDescent="0.25">
      <c r="A555" t="s">
        <v>6</v>
      </c>
      <c r="B555" t="s">
        <v>94</v>
      </c>
      <c r="C555" t="s">
        <v>299</v>
      </c>
      <c r="D555">
        <v>711500</v>
      </c>
      <c r="E555" t="s">
        <v>300</v>
      </c>
      <c r="F555">
        <v>50.454999999999998</v>
      </c>
      <c r="G555">
        <v>-100.6036</v>
      </c>
      <c r="H555">
        <v>-6</v>
      </c>
      <c r="I555">
        <v>561.29999999999995</v>
      </c>
      <c r="J555" t="str">
        <f>HYPERLINK("https://climate.onebuilding.org/WMO_Region_4_North_and_Central_America/CAN_Canada/MB_Manitoba/CAN_MB_Shoal.Lake.AP.711500_TMYx.2004-2018.zip")</f>
        <v>https://climate.onebuilding.org/WMO_Region_4_North_and_Central_America/CAN_Canada/MB_Manitoba/CAN_MB_Shoal.Lake.AP.711500_TMYx.2004-2018.zip</v>
      </c>
    </row>
    <row r="556" spans="1:10" x14ac:dyDescent="0.25">
      <c r="A556" t="s">
        <v>6</v>
      </c>
      <c r="B556" t="s">
        <v>94</v>
      </c>
      <c r="C556" t="s">
        <v>299</v>
      </c>
      <c r="D556">
        <v>711500</v>
      </c>
      <c r="E556" t="s">
        <v>10</v>
      </c>
      <c r="F556">
        <v>50.454999999999998</v>
      </c>
      <c r="G556">
        <v>-100.6036</v>
      </c>
      <c r="H556">
        <v>-6</v>
      </c>
      <c r="I556">
        <v>561.29999999999995</v>
      </c>
      <c r="J556" t="str">
        <f>HYPERLINK("https://climate.onebuilding.org/WMO_Region_4_North_and_Central_America/CAN_Canada/MB_Manitoba/CAN_MB_Shoal.Lake.AP.711500_TMYx.2007-2021.zip")</f>
        <v>https://climate.onebuilding.org/WMO_Region_4_North_and_Central_America/CAN_Canada/MB_Manitoba/CAN_MB_Shoal.Lake.AP.711500_TMYx.2007-2021.zip</v>
      </c>
    </row>
    <row r="557" spans="1:10" x14ac:dyDescent="0.25">
      <c r="A557" t="s">
        <v>6</v>
      </c>
      <c r="B557" t="s">
        <v>94</v>
      </c>
      <c r="C557" t="s">
        <v>299</v>
      </c>
      <c r="D557">
        <v>711500</v>
      </c>
      <c r="E557" t="s">
        <v>10</v>
      </c>
      <c r="F557">
        <v>50.454999999999998</v>
      </c>
      <c r="G557">
        <v>-100.6036</v>
      </c>
      <c r="H557">
        <v>-6</v>
      </c>
      <c r="I557">
        <v>561.29999999999995</v>
      </c>
      <c r="J557" t="str">
        <f>HYPERLINK("https://climate.onebuilding.org/WMO_Region_4_North_and_Central_America/CAN_Canada/MB_Manitoba/CAN_MB_Shoal.Lake.AP.711500_TMYx.2009-2023.zip")</f>
        <v>https://climate.onebuilding.org/WMO_Region_4_North_and_Central_America/CAN_Canada/MB_Manitoba/CAN_MB_Shoal.Lake.AP.711500_TMYx.2009-2023.zip</v>
      </c>
    </row>
    <row r="558" spans="1:10" x14ac:dyDescent="0.25">
      <c r="A558" t="s">
        <v>6</v>
      </c>
      <c r="B558" t="s">
        <v>94</v>
      </c>
      <c r="C558" t="s">
        <v>299</v>
      </c>
      <c r="D558">
        <v>711500</v>
      </c>
      <c r="E558" t="s">
        <v>10</v>
      </c>
      <c r="F558">
        <v>50.454999999999998</v>
      </c>
      <c r="G558">
        <v>-100.6036</v>
      </c>
      <c r="H558">
        <v>-6</v>
      </c>
      <c r="I558">
        <v>561.29999999999995</v>
      </c>
      <c r="J558" t="str">
        <f>HYPERLINK("https://climate.onebuilding.org/WMO_Region_4_North_and_Central_America/CAN_Canada/MB_Manitoba/CAN_MB_Shoal.Lake.AP.711500_TMYx.zip")</f>
        <v>https://climate.onebuilding.org/WMO_Region_4_North_and_Central_America/CAN_Canada/MB_Manitoba/CAN_MB_Shoal.Lake.AP.711500_TMYx.zip</v>
      </c>
    </row>
    <row r="559" spans="1:10" x14ac:dyDescent="0.25">
      <c r="A559" t="s">
        <v>6</v>
      </c>
      <c r="B559" t="s">
        <v>130</v>
      </c>
      <c r="C559" t="s">
        <v>301</v>
      </c>
      <c r="D559">
        <v>711510</v>
      </c>
      <c r="E559" t="s">
        <v>10</v>
      </c>
      <c r="F559">
        <v>49.790599999999998</v>
      </c>
      <c r="G559">
        <v>-94.377799999999993</v>
      </c>
      <c r="H559">
        <v>-6</v>
      </c>
      <c r="I559">
        <v>412.7</v>
      </c>
      <c r="J559" t="str">
        <f>HYPERLINK("https://climate.onebuilding.org/WMO_Region_4_North_and_Central_America/CAN_Canada/ON_Ontario/CAN_ON_Kenora.RCS.711510_TMYx.2007-2021.zip")</f>
        <v>https://climate.onebuilding.org/WMO_Region_4_North_and_Central_America/CAN_Canada/ON_Ontario/CAN_ON_Kenora.RCS.711510_TMYx.2007-2021.zip</v>
      </c>
    </row>
    <row r="560" spans="1:10" x14ac:dyDescent="0.25">
      <c r="A560" t="s">
        <v>6</v>
      </c>
      <c r="B560" t="s">
        <v>130</v>
      </c>
      <c r="C560" t="s">
        <v>301</v>
      </c>
      <c r="D560">
        <v>711510</v>
      </c>
      <c r="E560" t="s">
        <v>10</v>
      </c>
      <c r="F560">
        <v>49.790599999999998</v>
      </c>
      <c r="G560">
        <v>-94.377799999999993</v>
      </c>
      <c r="H560">
        <v>-6</v>
      </c>
      <c r="I560">
        <v>412.7</v>
      </c>
      <c r="J560" t="str">
        <f>HYPERLINK("https://climate.onebuilding.org/WMO_Region_4_North_and_Central_America/CAN_Canada/ON_Ontario/CAN_ON_Kenora.RCS.711510_TMYx.2009-2023.zip")</f>
        <v>https://climate.onebuilding.org/WMO_Region_4_North_and_Central_America/CAN_Canada/ON_Ontario/CAN_ON_Kenora.RCS.711510_TMYx.2009-2023.zip</v>
      </c>
    </row>
    <row r="561" spans="1:10" x14ac:dyDescent="0.25">
      <c r="A561" t="s">
        <v>6</v>
      </c>
      <c r="B561" t="s">
        <v>130</v>
      </c>
      <c r="C561" t="s">
        <v>301</v>
      </c>
      <c r="D561">
        <v>711510</v>
      </c>
      <c r="E561" t="s">
        <v>10</v>
      </c>
      <c r="F561">
        <v>49.790599999999998</v>
      </c>
      <c r="G561">
        <v>-94.377799999999993</v>
      </c>
      <c r="H561">
        <v>-6</v>
      </c>
      <c r="I561">
        <v>412.7</v>
      </c>
      <c r="J561" t="str">
        <f>HYPERLINK("https://climate.onebuilding.org/WMO_Region_4_North_and_Central_America/CAN_Canada/ON_Ontario/CAN_ON_Kenora.RCS.711510_TMYx.zip")</f>
        <v>https://climate.onebuilding.org/WMO_Region_4_North_and_Central_America/CAN_Canada/ON_Ontario/CAN_ON_Kenora.RCS.711510_TMYx.zip</v>
      </c>
    </row>
    <row r="562" spans="1:10" x14ac:dyDescent="0.25">
      <c r="A562" t="s">
        <v>6</v>
      </c>
      <c r="B562" t="s">
        <v>11</v>
      </c>
      <c r="C562" t="s">
        <v>302</v>
      </c>
      <c r="D562">
        <v>711520</v>
      </c>
      <c r="E562" t="s">
        <v>303</v>
      </c>
      <c r="F562">
        <v>47.616100000000003</v>
      </c>
      <c r="G562">
        <v>-57.616799999999998</v>
      </c>
      <c r="H562">
        <v>-3.5</v>
      </c>
      <c r="I562">
        <v>10.6</v>
      </c>
      <c r="J562" t="str">
        <f>HYPERLINK("https://climate.onebuilding.org/WMO_Region_4_North_and_Central_America/CAN_Canada/NL_Newfoundland_and_Labrador/CAN_NL_Burgeo.711520_TMYx.2004-2018.zip")</f>
        <v>https://climate.onebuilding.org/WMO_Region_4_North_and_Central_America/CAN_Canada/NL_Newfoundland_and_Labrador/CAN_NL_Burgeo.711520_TMYx.2004-2018.zip</v>
      </c>
    </row>
    <row r="563" spans="1:10" x14ac:dyDescent="0.25">
      <c r="A563" t="s">
        <v>6</v>
      </c>
      <c r="B563" t="s">
        <v>11</v>
      </c>
      <c r="C563" t="s">
        <v>302</v>
      </c>
      <c r="D563">
        <v>711520</v>
      </c>
      <c r="E563" t="s">
        <v>10</v>
      </c>
      <c r="F563">
        <v>47.613</v>
      </c>
      <c r="G563">
        <v>-57.61</v>
      </c>
      <c r="H563">
        <v>-3.5</v>
      </c>
      <c r="I563">
        <v>10.6</v>
      </c>
      <c r="J563" t="str">
        <f>HYPERLINK("https://climate.onebuilding.org/WMO_Region_4_North_and_Central_America/CAN_Canada/NL_Newfoundland_and_Labrador/CAN_NL_Burgeo.711520_TMYx.2007-2021.zip")</f>
        <v>https://climate.onebuilding.org/WMO_Region_4_North_and_Central_America/CAN_Canada/NL_Newfoundland_and_Labrador/CAN_NL_Burgeo.711520_TMYx.2007-2021.zip</v>
      </c>
    </row>
    <row r="564" spans="1:10" x14ac:dyDescent="0.25">
      <c r="A564" t="s">
        <v>6</v>
      </c>
      <c r="B564" t="s">
        <v>11</v>
      </c>
      <c r="C564" t="s">
        <v>302</v>
      </c>
      <c r="D564">
        <v>711520</v>
      </c>
      <c r="E564" t="s">
        <v>10</v>
      </c>
      <c r="F564">
        <v>47.613</v>
      </c>
      <c r="G564">
        <v>-57.61</v>
      </c>
      <c r="H564">
        <v>-3.5</v>
      </c>
      <c r="I564">
        <v>10.6</v>
      </c>
      <c r="J564" t="str">
        <f>HYPERLINK("https://climate.onebuilding.org/WMO_Region_4_North_and_Central_America/CAN_Canada/NL_Newfoundland_and_Labrador/CAN_NL_Burgeo.711520_TMYx.2009-2023.zip")</f>
        <v>https://climate.onebuilding.org/WMO_Region_4_North_and_Central_America/CAN_Canada/NL_Newfoundland_and_Labrador/CAN_NL_Burgeo.711520_TMYx.2009-2023.zip</v>
      </c>
    </row>
    <row r="565" spans="1:10" x14ac:dyDescent="0.25">
      <c r="A565" t="s">
        <v>6</v>
      </c>
      <c r="B565" t="s">
        <v>11</v>
      </c>
      <c r="C565" t="s">
        <v>302</v>
      </c>
      <c r="D565">
        <v>711520</v>
      </c>
      <c r="E565" t="s">
        <v>10</v>
      </c>
      <c r="F565">
        <v>47.613</v>
      </c>
      <c r="G565">
        <v>-57.61</v>
      </c>
      <c r="H565">
        <v>-3.5</v>
      </c>
      <c r="I565">
        <v>10.6</v>
      </c>
      <c r="J565" t="str">
        <f>HYPERLINK("https://climate.onebuilding.org/WMO_Region_4_North_and_Central_America/CAN_Canada/NL_Newfoundland_and_Labrador/CAN_NL_Burgeo.711520_TMYx.zip")</f>
        <v>https://climate.onebuilding.org/WMO_Region_4_North_and_Central_America/CAN_Canada/NL_Newfoundland_and_Labrador/CAN_NL_Burgeo.711520_TMYx.zip</v>
      </c>
    </row>
    <row r="566" spans="1:10" x14ac:dyDescent="0.25">
      <c r="A566" t="s">
        <v>6</v>
      </c>
      <c r="B566" t="s">
        <v>17</v>
      </c>
      <c r="C566" t="s">
        <v>304</v>
      </c>
      <c r="D566">
        <v>711530</v>
      </c>
      <c r="E566" t="s">
        <v>305</v>
      </c>
      <c r="F566">
        <v>49.200600000000001</v>
      </c>
      <c r="G566">
        <v>-113.28579999999999</v>
      </c>
      <c r="H566">
        <v>-7</v>
      </c>
      <c r="I566">
        <v>1136</v>
      </c>
      <c r="J566" t="str">
        <f>HYPERLINK("https://climate.onebuilding.org/WMO_Region_4_North_and_Central_America/CAN_Canada/AB_Alberta/CAN_AB_Cardston.711530_TMYx.2004-2018.zip")</f>
        <v>https://climate.onebuilding.org/WMO_Region_4_North_and_Central_America/CAN_Canada/AB_Alberta/CAN_AB_Cardston.711530_TMYx.2004-2018.zip</v>
      </c>
    </row>
    <row r="567" spans="1:10" x14ac:dyDescent="0.25">
      <c r="A567" t="s">
        <v>6</v>
      </c>
      <c r="B567" t="s">
        <v>17</v>
      </c>
      <c r="C567" t="s">
        <v>304</v>
      </c>
      <c r="D567">
        <v>711530</v>
      </c>
      <c r="E567" t="s">
        <v>10</v>
      </c>
      <c r="F567">
        <v>49.200600000000001</v>
      </c>
      <c r="G567">
        <v>-113.28579999999999</v>
      </c>
      <c r="H567">
        <v>-7</v>
      </c>
      <c r="I567">
        <v>1136</v>
      </c>
      <c r="J567" t="str">
        <f>HYPERLINK("https://climate.onebuilding.org/WMO_Region_4_North_and_Central_America/CAN_Canada/AB_Alberta/CAN_AB_Cardston.711530_TMYx.2007-2021.zip")</f>
        <v>https://climate.onebuilding.org/WMO_Region_4_North_and_Central_America/CAN_Canada/AB_Alberta/CAN_AB_Cardston.711530_TMYx.2007-2021.zip</v>
      </c>
    </row>
    <row r="568" spans="1:10" x14ac:dyDescent="0.25">
      <c r="A568" t="s">
        <v>6</v>
      </c>
      <c r="B568" t="s">
        <v>17</v>
      </c>
      <c r="C568" t="s">
        <v>304</v>
      </c>
      <c r="D568">
        <v>711530</v>
      </c>
      <c r="E568" t="s">
        <v>10</v>
      </c>
      <c r="F568">
        <v>49.200600000000001</v>
      </c>
      <c r="G568">
        <v>-113.28579999999999</v>
      </c>
      <c r="H568">
        <v>-7</v>
      </c>
      <c r="I568">
        <v>1136</v>
      </c>
      <c r="J568" t="str">
        <f>HYPERLINK("https://climate.onebuilding.org/WMO_Region_4_North_and_Central_America/CAN_Canada/AB_Alberta/CAN_AB_Cardston.711530_TMYx.2009-2023.zip")</f>
        <v>https://climate.onebuilding.org/WMO_Region_4_North_and_Central_America/CAN_Canada/AB_Alberta/CAN_AB_Cardston.711530_TMYx.2009-2023.zip</v>
      </c>
    </row>
    <row r="569" spans="1:10" x14ac:dyDescent="0.25">
      <c r="A569" t="s">
        <v>6</v>
      </c>
      <c r="B569" t="s">
        <v>17</v>
      </c>
      <c r="C569" t="s">
        <v>304</v>
      </c>
      <c r="D569">
        <v>711530</v>
      </c>
      <c r="E569" t="s">
        <v>10</v>
      </c>
      <c r="F569">
        <v>49.200600000000001</v>
      </c>
      <c r="G569">
        <v>-113.28579999999999</v>
      </c>
      <c r="H569">
        <v>-7</v>
      </c>
      <c r="I569">
        <v>1136</v>
      </c>
      <c r="J569" t="str">
        <f>HYPERLINK("https://climate.onebuilding.org/WMO_Region_4_North_and_Central_America/CAN_Canada/AB_Alberta/CAN_AB_Cardston.711530_TMYx.zip")</f>
        <v>https://climate.onebuilding.org/WMO_Region_4_North_and_Central_America/CAN_Canada/AB_Alberta/CAN_AB_Cardston.711530_TMYx.zip</v>
      </c>
    </row>
    <row r="570" spans="1:10" x14ac:dyDescent="0.25">
      <c r="A570" t="s">
        <v>6</v>
      </c>
      <c r="B570" t="s">
        <v>17</v>
      </c>
      <c r="C570" t="s">
        <v>306</v>
      </c>
      <c r="D570">
        <v>711540</v>
      </c>
      <c r="E570" t="s">
        <v>307</v>
      </c>
      <c r="F570">
        <v>49.131100000000004</v>
      </c>
      <c r="G570">
        <v>-113.8086</v>
      </c>
      <c r="H570">
        <v>-7</v>
      </c>
      <c r="I570">
        <v>1289</v>
      </c>
      <c r="J570" t="str">
        <f>HYPERLINK("https://climate.onebuilding.org/WMO_Region_4_North_and_Central_America/CAN_Canada/AB_Alberta/CAN_AB_Waterton.Lakes.Natl.Park.Gate.711540_TMYx.2004-2018.zip")</f>
        <v>https://climate.onebuilding.org/WMO_Region_4_North_and_Central_America/CAN_Canada/AB_Alberta/CAN_AB_Waterton.Lakes.Natl.Park.Gate.711540_TMYx.2004-2018.zip</v>
      </c>
    </row>
    <row r="571" spans="1:10" x14ac:dyDescent="0.25">
      <c r="A571" t="s">
        <v>6</v>
      </c>
      <c r="B571" t="s">
        <v>17</v>
      </c>
      <c r="C571" t="s">
        <v>306</v>
      </c>
      <c r="D571">
        <v>711540</v>
      </c>
      <c r="E571" t="s">
        <v>10</v>
      </c>
      <c r="F571">
        <v>49.131100000000004</v>
      </c>
      <c r="G571">
        <v>-113.8086</v>
      </c>
      <c r="H571">
        <v>-7</v>
      </c>
      <c r="I571">
        <v>1289</v>
      </c>
      <c r="J571" t="str">
        <f>HYPERLINK("https://climate.onebuilding.org/WMO_Region_4_North_and_Central_America/CAN_Canada/AB_Alberta/CAN_AB_Waterton.Lakes.Natl.Park.Gate.711540_TMYx.2007-2021.zip")</f>
        <v>https://climate.onebuilding.org/WMO_Region_4_North_and_Central_America/CAN_Canada/AB_Alberta/CAN_AB_Waterton.Lakes.Natl.Park.Gate.711540_TMYx.2007-2021.zip</v>
      </c>
    </row>
    <row r="572" spans="1:10" x14ac:dyDescent="0.25">
      <c r="A572" t="s">
        <v>6</v>
      </c>
      <c r="B572" t="s">
        <v>17</v>
      </c>
      <c r="C572" t="s">
        <v>306</v>
      </c>
      <c r="D572">
        <v>711540</v>
      </c>
      <c r="E572" t="s">
        <v>10</v>
      </c>
      <c r="F572">
        <v>49.131100000000004</v>
      </c>
      <c r="G572">
        <v>-113.8086</v>
      </c>
      <c r="H572">
        <v>-7</v>
      </c>
      <c r="I572">
        <v>1289</v>
      </c>
      <c r="J572" t="str">
        <f>HYPERLINK("https://climate.onebuilding.org/WMO_Region_4_North_and_Central_America/CAN_Canada/AB_Alberta/CAN_AB_Waterton.Lakes.Natl.Park.Gate.711540_TMYx.2009-2023.zip")</f>
        <v>https://climate.onebuilding.org/WMO_Region_4_North_and_Central_America/CAN_Canada/AB_Alberta/CAN_AB_Waterton.Lakes.Natl.Park.Gate.711540_TMYx.2009-2023.zip</v>
      </c>
    </row>
    <row r="573" spans="1:10" x14ac:dyDescent="0.25">
      <c r="A573" t="s">
        <v>6</v>
      </c>
      <c r="B573" t="s">
        <v>17</v>
      </c>
      <c r="C573" t="s">
        <v>306</v>
      </c>
      <c r="D573">
        <v>711540</v>
      </c>
      <c r="E573" t="s">
        <v>10</v>
      </c>
      <c r="F573">
        <v>49.131100000000004</v>
      </c>
      <c r="G573">
        <v>-113.8086</v>
      </c>
      <c r="H573">
        <v>-7</v>
      </c>
      <c r="I573">
        <v>1289</v>
      </c>
      <c r="J573" t="str">
        <f>HYPERLINK("https://climate.onebuilding.org/WMO_Region_4_North_and_Central_America/CAN_Canada/AB_Alberta/CAN_AB_Waterton.Lakes.Natl.Park.Gate.711540_TMYx.zip")</f>
        <v>https://climate.onebuilding.org/WMO_Region_4_North_and_Central_America/CAN_Canada/AB_Alberta/CAN_AB_Waterton.Lakes.Natl.Park.Gate.711540_TMYx.zip</v>
      </c>
    </row>
    <row r="574" spans="1:10" x14ac:dyDescent="0.25">
      <c r="A574" t="s">
        <v>6</v>
      </c>
      <c r="B574" t="s">
        <v>17</v>
      </c>
      <c r="C574" t="s">
        <v>308</v>
      </c>
      <c r="D574">
        <v>711550</v>
      </c>
      <c r="E574" t="s">
        <v>309</v>
      </c>
      <c r="F574">
        <v>53.306699999999999</v>
      </c>
      <c r="G574">
        <v>-113.6058</v>
      </c>
      <c r="H574">
        <v>-7</v>
      </c>
      <c r="I574">
        <v>715</v>
      </c>
      <c r="J574" t="str">
        <f>HYPERLINK("https://climate.onebuilding.org/WMO_Region_4_North_and_Central_America/CAN_Canada/AB_Alberta/CAN_AB_Edmonton.Intl.CS.711550_TMYx.2004-2018.zip")</f>
        <v>https://climate.onebuilding.org/WMO_Region_4_North_and_Central_America/CAN_Canada/AB_Alberta/CAN_AB_Edmonton.Intl.CS.711550_TMYx.2004-2018.zip</v>
      </c>
    </row>
    <row r="575" spans="1:10" x14ac:dyDescent="0.25">
      <c r="A575" t="s">
        <v>6</v>
      </c>
      <c r="B575" t="s">
        <v>17</v>
      </c>
      <c r="C575" t="s">
        <v>308</v>
      </c>
      <c r="D575">
        <v>711550</v>
      </c>
      <c r="E575" t="s">
        <v>10</v>
      </c>
      <c r="F575">
        <v>53.306699999999999</v>
      </c>
      <c r="G575">
        <v>-113.6058</v>
      </c>
      <c r="H575">
        <v>-7</v>
      </c>
      <c r="I575">
        <v>715</v>
      </c>
      <c r="J575" t="str">
        <f>HYPERLINK("https://climate.onebuilding.org/WMO_Region_4_North_and_Central_America/CAN_Canada/AB_Alberta/CAN_AB_Edmonton.Intl.CS.711550_TMYx.2007-2021.zip")</f>
        <v>https://climate.onebuilding.org/WMO_Region_4_North_and_Central_America/CAN_Canada/AB_Alberta/CAN_AB_Edmonton.Intl.CS.711550_TMYx.2007-2021.zip</v>
      </c>
    </row>
    <row r="576" spans="1:10" x14ac:dyDescent="0.25">
      <c r="A576" t="s">
        <v>6</v>
      </c>
      <c r="B576" t="s">
        <v>17</v>
      </c>
      <c r="C576" t="s">
        <v>308</v>
      </c>
      <c r="D576">
        <v>711550</v>
      </c>
      <c r="E576" t="s">
        <v>10</v>
      </c>
      <c r="F576">
        <v>53.306699999999999</v>
      </c>
      <c r="G576">
        <v>-113.6058</v>
      </c>
      <c r="H576">
        <v>-7</v>
      </c>
      <c r="I576">
        <v>715</v>
      </c>
      <c r="J576" t="str">
        <f>HYPERLINK("https://climate.onebuilding.org/WMO_Region_4_North_and_Central_America/CAN_Canada/AB_Alberta/CAN_AB_Edmonton.Intl.CS.711550_TMYx.2009-2023.zip")</f>
        <v>https://climate.onebuilding.org/WMO_Region_4_North_and_Central_America/CAN_Canada/AB_Alberta/CAN_AB_Edmonton.Intl.CS.711550_TMYx.2009-2023.zip</v>
      </c>
    </row>
    <row r="577" spans="1:10" x14ac:dyDescent="0.25">
      <c r="A577" t="s">
        <v>6</v>
      </c>
      <c r="B577" t="s">
        <v>17</v>
      </c>
      <c r="C577" t="s">
        <v>308</v>
      </c>
      <c r="D577">
        <v>711550</v>
      </c>
      <c r="E577" t="s">
        <v>10</v>
      </c>
      <c r="F577">
        <v>53.306699999999999</v>
      </c>
      <c r="G577">
        <v>-113.6058</v>
      </c>
      <c r="H577">
        <v>-7</v>
      </c>
      <c r="I577">
        <v>715</v>
      </c>
      <c r="J577" t="str">
        <f>HYPERLINK("https://climate.onebuilding.org/WMO_Region_4_North_and_Central_America/CAN_Canada/AB_Alberta/CAN_AB_Edmonton.Intl.CS.711550_TMYx.zip")</f>
        <v>https://climate.onebuilding.org/WMO_Region_4_North_and_Central_America/CAN_Canada/AB_Alberta/CAN_AB_Edmonton.Intl.CS.711550_TMYx.zip</v>
      </c>
    </row>
    <row r="578" spans="1:10" x14ac:dyDescent="0.25">
      <c r="A578" t="s">
        <v>6</v>
      </c>
      <c r="B578" t="s">
        <v>17</v>
      </c>
      <c r="C578" t="s">
        <v>310</v>
      </c>
      <c r="D578">
        <v>711560</v>
      </c>
      <c r="E578" t="s">
        <v>10</v>
      </c>
      <c r="F578">
        <v>53.580300000000001</v>
      </c>
      <c r="G578">
        <v>-116.4533</v>
      </c>
      <c r="H578">
        <v>-7</v>
      </c>
      <c r="I578">
        <v>927</v>
      </c>
      <c r="J578" t="str">
        <f>HYPERLINK("https://climate.onebuilding.org/WMO_Region_4_North_and_Central_America/CAN_Canada/AB_Alberta/CAN_AB_Edson.CS.711560_TMYx.2007-2021.zip")</f>
        <v>https://climate.onebuilding.org/WMO_Region_4_North_and_Central_America/CAN_Canada/AB_Alberta/CAN_AB_Edson.CS.711560_TMYx.2007-2021.zip</v>
      </c>
    </row>
    <row r="579" spans="1:10" x14ac:dyDescent="0.25">
      <c r="A579" t="s">
        <v>6</v>
      </c>
      <c r="B579" t="s">
        <v>17</v>
      </c>
      <c r="C579" t="s">
        <v>310</v>
      </c>
      <c r="D579">
        <v>711560</v>
      </c>
      <c r="E579" t="s">
        <v>10</v>
      </c>
      <c r="F579">
        <v>53.580300000000001</v>
      </c>
      <c r="G579">
        <v>-116.4533</v>
      </c>
      <c r="H579">
        <v>-7</v>
      </c>
      <c r="I579">
        <v>927</v>
      </c>
      <c r="J579" t="str">
        <f>HYPERLINK("https://climate.onebuilding.org/WMO_Region_4_North_and_Central_America/CAN_Canada/AB_Alberta/CAN_AB_Edson.CS.711560_TMYx.2009-2023.zip")</f>
        <v>https://climate.onebuilding.org/WMO_Region_4_North_and_Central_America/CAN_Canada/AB_Alberta/CAN_AB_Edson.CS.711560_TMYx.2009-2023.zip</v>
      </c>
    </row>
    <row r="580" spans="1:10" x14ac:dyDescent="0.25">
      <c r="A580" t="s">
        <v>6</v>
      </c>
      <c r="B580" t="s">
        <v>17</v>
      </c>
      <c r="C580" t="s">
        <v>310</v>
      </c>
      <c r="D580">
        <v>711560</v>
      </c>
      <c r="E580" t="s">
        <v>10</v>
      </c>
      <c r="F580">
        <v>53.580300000000001</v>
      </c>
      <c r="G580">
        <v>-116.4533</v>
      </c>
      <c r="H580">
        <v>-7</v>
      </c>
      <c r="I580">
        <v>927</v>
      </c>
      <c r="J580" t="str">
        <f>HYPERLINK("https://climate.onebuilding.org/WMO_Region_4_North_and_Central_America/CAN_Canada/AB_Alberta/CAN_AB_Edson.CS.711560_TMYx.zip")</f>
        <v>https://climate.onebuilding.org/WMO_Region_4_North_and_Central_America/CAN_Canada/AB_Alberta/CAN_AB_Edson.CS.711560_TMYx.zip</v>
      </c>
    </row>
    <row r="581" spans="1:10" x14ac:dyDescent="0.25">
      <c r="A581" t="s">
        <v>6</v>
      </c>
      <c r="B581" t="s">
        <v>17</v>
      </c>
      <c r="C581" t="s">
        <v>311</v>
      </c>
      <c r="D581">
        <v>711570</v>
      </c>
      <c r="E581" t="s">
        <v>312</v>
      </c>
      <c r="F581">
        <v>53.573099999999997</v>
      </c>
      <c r="G581">
        <v>-113.5167</v>
      </c>
      <c r="H581">
        <v>-7</v>
      </c>
      <c r="I581">
        <v>671</v>
      </c>
      <c r="J581" t="str">
        <f>HYPERLINK("https://climate.onebuilding.org/WMO_Region_4_North_and_Central_America/CAN_Canada/AB_Alberta/CAN_AB_Edmonton.Muni.AP.711570_TMYx.2004-2018.zip")</f>
        <v>https://climate.onebuilding.org/WMO_Region_4_North_and_Central_America/CAN_Canada/AB_Alberta/CAN_AB_Edmonton.Muni.AP.711570_TMYx.2004-2018.zip</v>
      </c>
    </row>
    <row r="582" spans="1:10" x14ac:dyDescent="0.25">
      <c r="A582" t="s">
        <v>6</v>
      </c>
      <c r="B582" t="s">
        <v>17</v>
      </c>
      <c r="C582" t="s">
        <v>311</v>
      </c>
      <c r="D582">
        <v>711570</v>
      </c>
      <c r="E582" t="s">
        <v>10</v>
      </c>
      <c r="F582">
        <v>53.573099999999997</v>
      </c>
      <c r="G582">
        <v>-113.5167</v>
      </c>
      <c r="H582">
        <v>-7</v>
      </c>
      <c r="I582">
        <v>671</v>
      </c>
      <c r="J582" t="str">
        <f>HYPERLINK("https://climate.onebuilding.org/WMO_Region_4_North_and_Central_America/CAN_Canada/AB_Alberta/CAN_AB_Edmonton.Muni.AP.711570_TMYx.2007-2021.zip")</f>
        <v>https://climate.onebuilding.org/WMO_Region_4_North_and_Central_America/CAN_Canada/AB_Alberta/CAN_AB_Edmonton.Muni.AP.711570_TMYx.2007-2021.zip</v>
      </c>
    </row>
    <row r="583" spans="1:10" x14ac:dyDescent="0.25">
      <c r="A583" t="s">
        <v>6</v>
      </c>
      <c r="B583" t="s">
        <v>17</v>
      </c>
      <c r="C583" t="s">
        <v>311</v>
      </c>
      <c r="D583">
        <v>711570</v>
      </c>
      <c r="E583" t="s">
        <v>10</v>
      </c>
      <c r="F583">
        <v>53.573099999999997</v>
      </c>
      <c r="G583">
        <v>-113.5167</v>
      </c>
      <c r="H583">
        <v>-7</v>
      </c>
      <c r="I583">
        <v>671</v>
      </c>
      <c r="J583" t="str">
        <f>HYPERLINK("https://climate.onebuilding.org/WMO_Region_4_North_and_Central_America/CAN_Canada/AB_Alberta/CAN_AB_Edmonton.Muni.AP.711570_TMYx.2009-2023.zip")</f>
        <v>https://climate.onebuilding.org/WMO_Region_4_North_and_Central_America/CAN_Canada/AB_Alberta/CAN_AB_Edmonton.Muni.AP.711570_TMYx.2009-2023.zip</v>
      </c>
    </row>
    <row r="584" spans="1:10" x14ac:dyDescent="0.25">
      <c r="A584" t="s">
        <v>6</v>
      </c>
      <c r="B584" t="s">
        <v>17</v>
      </c>
      <c r="C584" t="s">
        <v>311</v>
      </c>
      <c r="D584">
        <v>711570</v>
      </c>
      <c r="E584" t="s">
        <v>10</v>
      </c>
      <c r="F584">
        <v>53.573099999999997</v>
      </c>
      <c r="G584">
        <v>-113.5167</v>
      </c>
      <c r="H584">
        <v>-7</v>
      </c>
      <c r="I584">
        <v>671</v>
      </c>
      <c r="J584" t="str">
        <f>HYPERLINK("https://climate.onebuilding.org/WMO_Region_4_North_and_Central_America/CAN_Canada/AB_Alberta/CAN_AB_Edmonton.Muni.AP.711570_TMYx.zip")</f>
        <v>https://climate.onebuilding.org/WMO_Region_4_North_and_Central_America/CAN_Canada/AB_Alberta/CAN_AB_Edmonton.Muni.AP.711570_TMYx.zip</v>
      </c>
    </row>
    <row r="585" spans="1:10" x14ac:dyDescent="0.25">
      <c r="A585" t="s">
        <v>6</v>
      </c>
      <c r="B585" t="s">
        <v>94</v>
      </c>
      <c r="C585" t="s">
        <v>313</v>
      </c>
      <c r="D585">
        <v>711580</v>
      </c>
      <c r="E585" t="s">
        <v>314</v>
      </c>
      <c r="F585">
        <v>52.359720000000003</v>
      </c>
      <c r="G585">
        <v>-97.021950000000004</v>
      </c>
      <c r="H585">
        <v>-6</v>
      </c>
      <c r="I585">
        <v>222</v>
      </c>
      <c r="J585" t="str">
        <f>HYPERLINK("https://climate.onebuilding.org/WMO_Region_4_North_and_Central_America/CAN_Canada/MB_Manitoba/CAN_MB_Berens.River.AP.CS.711580_TMYx.2004-2018.zip")</f>
        <v>https://climate.onebuilding.org/WMO_Region_4_North_and_Central_America/CAN_Canada/MB_Manitoba/CAN_MB_Berens.River.AP.CS.711580_TMYx.2004-2018.zip</v>
      </c>
    </row>
    <row r="586" spans="1:10" x14ac:dyDescent="0.25">
      <c r="A586" t="s">
        <v>6</v>
      </c>
      <c r="B586" t="s">
        <v>94</v>
      </c>
      <c r="C586" t="s">
        <v>313</v>
      </c>
      <c r="D586">
        <v>711580</v>
      </c>
      <c r="E586" t="s">
        <v>10</v>
      </c>
      <c r="F586">
        <v>52.359720000000003</v>
      </c>
      <c r="G586">
        <v>-97.021950000000004</v>
      </c>
      <c r="H586">
        <v>-6</v>
      </c>
      <c r="I586">
        <v>222</v>
      </c>
      <c r="J586" t="str">
        <f>HYPERLINK("https://climate.onebuilding.org/WMO_Region_4_North_and_Central_America/CAN_Canada/MB_Manitoba/CAN_MB_Berens.River.AP.CS.711580_TMYx.2007-2021.zip")</f>
        <v>https://climate.onebuilding.org/WMO_Region_4_North_and_Central_America/CAN_Canada/MB_Manitoba/CAN_MB_Berens.River.AP.CS.711580_TMYx.2007-2021.zip</v>
      </c>
    </row>
    <row r="587" spans="1:10" x14ac:dyDescent="0.25">
      <c r="A587" t="s">
        <v>6</v>
      </c>
      <c r="B587" t="s">
        <v>94</v>
      </c>
      <c r="C587" t="s">
        <v>313</v>
      </c>
      <c r="D587">
        <v>711580</v>
      </c>
      <c r="E587" t="s">
        <v>10</v>
      </c>
      <c r="F587">
        <v>52.359720000000003</v>
      </c>
      <c r="G587">
        <v>-97.021950000000004</v>
      </c>
      <c r="H587">
        <v>-6</v>
      </c>
      <c r="I587">
        <v>222</v>
      </c>
      <c r="J587" t="str">
        <f>HYPERLINK("https://climate.onebuilding.org/WMO_Region_4_North_and_Central_America/CAN_Canada/MB_Manitoba/CAN_MB_Berens.River.AP.CS.711580_TMYx.2009-2023.zip")</f>
        <v>https://climate.onebuilding.org/WMO_Region_4_North_and_Central_America/CAN_Canada/MB_Manitoba/CAN_MB_Berens.River.AP.CS.711580_TMYx.2009-2023.zip</v>
      </c>
    </row>
    <row r="588" spans="1:10" x14ac:dyDescent="0.25">
      <c r="A588" t="s">
        <v>6</v>
      </c>
      <c r="B588" t="s">
        <v>94</v>
      </c>
      <c r="C588" t="s">
        <v>313</v>
      </c>
      <c r="D588">
        <v>711580</v>
      </c>
      <c r="E588" t="s">
        <v>10</v>
      </c>
      <c r="F588">
        <v>52.359720000000003</v>
      </c>
      <c r="G588">
        <v>-97.021950000000004</v>
      </c>
      <c r="H588">
        <v>-6</v>
      </c>
      <c r="I588">
        <v>222</v>
      </c>
      <c r="J588" t="str">
        <f>HYPERLINK("https://climate.onebuilding.org/WMO_Region_4_North_and_Central_America/CAN_Canada/MB_Manitoba/CAN_MB_Berens.River.AP.CS.711580_TMYx.zip")</f>
        <v>https://climate.onebuilding.org/WMO_Region_4_North_and_Central_America/CAN_Canada/MB_Manitoba/CAN_MB_Berens.River.AP.CS.711580_TMYx.zip</v>
      </c>
    </row>
    <row r="589" spans="1:10" x14ac:dyDescent="0.25">
      <c r="A589" t="s">
        <v>6</v>
      </c>
      <c r="B589" t="s">
        <v>11</v>
      </c>
      <c r="C589" t="s">
        <v>315</v>
      </c>
      <c r="D589">
        <v>711590</v>
      </c>
      <c r="E589" t="s">
        <v>10</v>
      </c>
      <c r="F589">
        <v>48.561399999999999</v>
      </c>
      <c r="G589">
        <v>-58.566099999999999</v>
      </c>
      <c r="H589">
        <v>-3.5</v>
      </c>
      <c r="I589">
        <v>59</v>
      </c>
      <c r="J589" t="str">
        <f>HYPERLINK("https://climate.onebuilding.org/WMO_Region_4_North_and_Central_America/CAN_Canada/NL_Newfoundland_and_Labrador/CAN_NL_Stephenville.RCS.711590_TMYx.2007-2021.zip")</f>
        <v>https://climate.onebuilding.org/WMO_Region_4_North_and_Central_America/CAN_Canada/NL_Newfoundland_and_Labrador/CAN_NL_Stephenville.RCS.711590_TMYx.2007-2021.zip</v>
      </c>
    </row>
    <row r="590" spans="1:10" x14ac:dyDescent="0.25">
      <c r="A590" t="s">
        <v>6</v>
      </c>
      <c r="B590" t="s">
        <v>11</v>
      </c>
      <c r="C590" t="s">
        <v>315</v>
      </c>
      <c r="D590">
        <v>711590</v>
      </c>
      <c r="E590" t="s">
        <v>10</v>
      </c>
      <c r="F590">
        <v>48.561399999999999</v>
      </c>
      <c r="G590">
        <v>-58.566099999999999</v>
      </c>
      <c r="H590">
        <v>-3.5</v>
      </c>
      <c r="I590">
        <v>59</v>
      </c>
      <c r="J590" t="str">
        <f>HYPERLINK("https://climate.onebuilding.org/WMO_Region_4_North_and_Central_America/CAN_Canada/NL_Newfoundland_and_Labrador/CAN_NL_Stephenville.RCS.711590_TMYx.2009-2023.zip")</f>
        <v>https://climate.onebuilding.org/WMO_Region_4_North_and_Central_America/CAN_Canada/NL_Newfoundland_and_Labrador/CAN_NL_Stephenville.RCS.711590_TMYx.2009-2023.zip</v>
      </c>
    </row>
    <row r="591" spans="1:10" x14ac:dyDescent="0.25">
      <c r="A591" t="s">
        <v>6</v>
      </c>
      <c r="B591" t="s">
        <v>11</v>
      </c>
      <c r="C591" t="s">
        <v>315</v>
      </c>
      <c r="D591">
        <v>711590</v>
      </c>
      <c r="E591" t="s">
        <v>10</v>
      </c>
      <c r="F591">
        <v>48.561399999999999</v>
      </c>
      <c r="G591">
        <v>-58.566099999999999</v>
      </c>
      <c r="H591">
        <v>-3.5</v>
      </c>
      <c r="I591">
        <v>59</v>
      </c>
      <c r="J591" t="str">
        <f>HYPERLINK("https://climate.onebuilding.org/WMO_Region_4_North_and_Central_America/CAN_Canada/NL_Newfoundland_and_Labrador/CAN_NL_Stephenville.RCS.711590_TMYx.zip")</f>
        <v>https://climate.onebuilding.org/WMO_Region_4_North_and_Central_America/CAN_Canada/NL_Newfoundland_and_Labrador/CAN_NL_Stephenville.RCS.711590_TMYx.zip</v>
      </c>
    </row>
    <row r="592" spans="1:10" x14ac:dyDescent="0.25">
      <c r="A592" t="s">
        <v>6</v>
      </c>
      <c r="B592" t="s">
        <v>48</v>
      </c>
      <c r="C592" t="s">
        <v>316</v>
      </c>
      <c r="D592">
        <v>711600</v>
      </c>
      <c r="E592" t="s">
        <v>317</v>
      </c>
      <c r="F592">
        <v>62.711399999999998</v>
      </c>
      <c r="G592">
        <v>-109.1683</v>
      </c>
      <c r="H592">
        <v>-7</v>
      </c>
      <c r="I592">
        <v>167.6</v>
      </c>
      <c r="J592" t="str">
        <f>HYPERLINK("https://climate.onebuilding.org/WMO_Region_4_North_and_Central_America/CAN_Canada/NT_Northwest_Territories/CAN_NT_Fort.Reliance.711600_TMYx.2004-2018.zip")</f>
        <v>https://climate.onebuilding.org/WMO_Region_4_North_and_Central_America/CAN_Canada/NT_Northwest_Territories/CAN_NT_Fort.Reliance.711600_TMYx.2004-2018.zip</v>
      </c>
    </row>
    <row r="593" spans="1:10" x14ac:dyDescent="0.25">
      <c r="A593" t="s">
        <v>6</v>
      </c>
      <c r="B593" t="s">
        <v>48</v>
      </c>
      <c r="C593" t="s">
        <v>316</v>
      </c>
      <c r="D593">
        <v>711600</v>
      </c>
      <c r="E593" t="s">
        <v>10</v>
      </c>
      <c r="F593">
        <v>62.711399999999998</v>
      </c>
      <c r="G593">
        <v>-109.1683</v>
      </c>
      <c r="H593">
        <v>-7</v>
      </c>
      <c r="I593">
        <v>167.6</v>
      </c>
      <c r="J593" t="str">
        <f>HYPERLINK("https://climate.onebuilding.org/WMO_Region_4_North_and_Central_America/CAN_Canada/NT_Northwest_Territories/CAN_NT_Fort.Reliance.711600_TMYx.2007-2021.zip")</f>
        <v>https://climate.onebuilding.org/WMO_Region_4_North_and_Central_America/CAN_Canada/NT_Northwest_Territories/CAN_NT_Fort.Reliance.711600_TMYx.2007-2021.zip</v>
      </c>
    </row>
    <row r="594" spans="1:10" x14ac:dyDescent="0.25">
      <c r="A594" t="s">
        <v>6</v>
      </c>
      <c r="B594" t="s">
        <v>48</v>
      </c>
      <c r="C594" t="s">
        <v>316</v>
      </c>
      <c r="D594">
        <v>711600</v>
      </c>
      <c r="E594" t="s">
        <v>10</v>
      </c>
      <c r="F594">
        <v>62.711399999999998</v>
      </c>
      <c r="G594">
        <v>-109.1683</v>
      </c>
      <c r="H594">
        <v>-7</v>
      </c>
      <c r="I594">
        <v>167.6</v>
      </c>
      <c r="J594" t="str">
        <f>HYPERLINK("https://climate.onebuilding.org/WMO_Region_4_North_and_Central_America/CAN_Canada/NT_Northwest_Territories/CAN_NT_Fort.Reliance.711600_TMYx.2009-2023.zip")</f>
        <v>https://climate.onebuilding.org/WMO_Region_4_North_and_Central_America/CAN_Canada/NT_Northwest_Territories/CAN_NT_Fort.Reliance.711600_TMYx.2009-2023.zip</v>
      </c>
    </row>
    <row r="595" spans="1:10" x14ac:dyDescent="0.25">
      <c r="A595" t="s">
        <v>6</v>
      </c>
      <c r="B595" t="s">
        <v>48</v>
      </c>
      <c r="C595" t="s">
        <v>316</v>
      </c>
      <c r="D595">
        <v>711600</v>
      </c>
      <c r="E595" t="s">
        <v>10</v>
      </c>
      <c r="F595">
        <v>62.711399999999998</v>
      </c>
      <c r="G595">
        <v>-109.1683</v>
      </c>
      <c r="H595">
        <v>-7</v>
      </c>
      <c r="I595">
        <v>167.6</v>
      </c>
      <c r="J595" t="str">
        <f>HYPERLINK("https://climate.onebuilding.org/WMO_Region_4_North_and_Central_America/CAN_Canada/NT_Northwest_Territories/CAN_NT_Fort.Reliance.711600_TMYx.zip")</f>
        <v>https://climate.onebuilding.org/WMO_Region_4_North_and_Central_America/CAN_Canada/NT_Northwest_Territories/CAN_NT_Fort.Reliance.711600_TMYx.zip</v>
      </c>
    </row>
    <row r="596" spans="1:10" x14ac:dyDescent="0.25">
      <c r="A596" t="s">
        <v>6</v>
      </c>
      <c r="B596" t="s">
        <v>130</v>
      </c>
      <c r="C596" t="s">
        <v>318</v>
      </c>
      <c r="D596">
        <v>711610</v>
      </c>
      <c r="E596" t="s">
        <v>319</v>
      </c>
      <c r="F596">
        <v>44.635300000000001</v>
      </c>
      <c r="G596">
        <v>-75.7483</v>
      </c>
      <c r="H596">
        <v>-5</v>
      </c>
      <c r="I596">
        <v>121.4</v>
      </c>
      <c r="J596" t="str">
        <f>HYPERLINK("https://climate.onebuilding.org/WMO_Region_4_North_and_Central_America/CAN_Canada/ON_Ontario/CAN_ON_Brockville-Tackaberry.Thousand.Islands.Rgnl.AP.711610_TMYx.2004-2018.zip")</f>
        <v>https://climate.onebuilding.org/WMO_Region_4_North_and_Central_America/CAN_Canada/ON_Ontario/CAN_ON_Brockville-Tackaberry.Thousand.Islands.Rgnl.AP.711610_TMYx.2004-2018.zip</v>
      </c>
    </row>
    <row r="597" spans="1:10" x14ac:dyDescent="0.25">
      <c r="A597" t="s">
        <v>6</v>
      </c>
      <c r="B597" t="s">
        <v>130</v>
      </c>
      <c r="C597" t="s">
        <v>318</v>
      </c>
      <c r="D597">
        <v>711610</v>
      </c>
      <c r="E597" t="s">
        <v>10</v>
      </c>
      <c r="F597">
        <v>44.635399999999997</v>
      </c>
      <c r="G597">
        <v>-75.751599999999996</v>
      </c>
      <c r="H597">
        <v>-5</v>
      </c>
      <c r="I597">
        <v>121.4</v>
      </c>
      <c r="J597" t="str">
        <f>HYPERLINK("https://climate.onebuilding.org/WMO_Region_4_North_and_Central_America/CAN_Canada/ON_Ontario/CAN_ON_Brockville-Tackaberry.Thousand.Islands.Rgnl.AP.711610_TMYx.2007-2021.zip")</f>
        <v>https://climate.onebuilding.org/WMO_Region_4_North_and_Central_America/CAN_Canada/ON_Ontario/CAN_ON_Brockville-Tackaberry.Thousand.Islands.Rgnl.AP.711610_TMYx.2007-2021.zip</v>
      </c>
    </row>
    <row r="598" spans="1:10" x14ac:dyDescent="0.25">
      <c r="A598" t="s">
        <v>6</v>
      </c>
      <c r="B598" t="s">
        <v>130</v>
      </c>
      <c r="C598" t="s">
        <v>318</v>
      </c>
      <c r="D598">
        <v>711610</v>
      </c>
      <c r="E598" t="s">
        <v>10</v>
      </c>
      <c r="F598">
        <v>44.635399999999997</v>
      </c>
      <c r="G598">
        <v>-75.751599999999996</v>
      </c>
      <c r="H598">
        <v>-5</v>
      </c>
      <c r="I598">
        <v>121.4</v>
      </c>
      <c r="J598" t="str">
        <f>HYPERLINK("https://climate.onebuilding.org/WMO_Region_4_North_and_Central_America/CAN_Canada/ON_Ontario/CAN_ON_Brockville-Tackaberry.Thousand.Islands.Rgnl.AP.711610_TMYx.2009-2023.zip")</f>
        <v>https://climate.onebuilding.org/WMO_Region_4_North_and_Central_America/CAN_Canada/ON_Ontario/CAN_ON_Brockville-Tackaberry.Thousand.Islands.Rgnl.AP.711610_TMYx.2009-2023.zip</v>
      </c>
    </row>
    <row r="599" spans="1:10" x14ac:dyDescent="0.25">
      <c r="A599" t="s">
        <v>6</v>
      </c>
      <c r="B599" t="s">
        <v>130</v>
      </c>
      <c r="C599" t="s">
        <v>318</v>
      </c>
      <c r="D599">
        <v>711610</v>
      </c>
      <c r="E599" t="s">
        <v>10</v>
      </c>
      <c r="F599">
        <v>44.635399999999997</v>
      </c>
      <c r="G599">
        <v>-75.751599999999996</v>
      </c>
      <c r="H599">
        <v>-5</v>
      </c>
      <c r="I599">
        <v>121.4</v>
      </c>
      <c r="J599" t="str">
        <f>HYPERLINK("https://climate.onebuilding.org/WMO_Region_4_North_and_Central_America/CAN_Canada/ON_Ontario/CAN_ON_Brockville-Tackaberry.Thousand.Islands.Rgnl.AP.711610_TMYx.zip")</f>
        <v>https://climate.onebuilding.org/WMO_Region_4_North_and_Central_America/CAN_Canada/ON_Ontario/CAN_ON_Brockville-Tackaberry.Thousand.Islands.Rgnl.AP.711610_TMYx.zip</v>
      </c>
    </row>
    <row r="600" spans="1:10" x14ac:dyDescent="0.25">
      <c r="A600" t="s">
        <v>6</v>
      </c>
      <c r="B600" t="s">
        <v>48</v>
      </c>
      <c r="C600" t="s">
        <v>320</v>
      </c>
      <c r="D600">
        <v>711620</v>
      </c>
      <c r="E600" t="s">
        <v>321</v>
      </c>
      <c r="F600">
        <v>61.920299999999997</v>
      </c>
      <c r="G600">
        <v>-113.7264</v>
      </c>
      <c r="H600">
        <v>-7</v>
      </c>
      <c r="I600">
        <v>165.2</v>
      </c>
      <c r="J600" t="str">
        <f>HYPERLINK("https://climate.onebuilding.org/WMO_Region_4_North_and_Central_America/CAN_Canada/NT_Northwest_Territories/CAN_NT_Inner.Whalebacks-Great.Slave.Lake.711620_TMYx.2004-2018.zip")</f>
        <v>https://climate.onebuilding.org/WMO_Region_4_North_and_Central_America/CAN_Canada/NT_Northwest_Territories/CAN_NT_Inner.Whalebacks-Great.Slave.Lake.711620_TMYx.2004-2018.zip</v>
      </c>
    </row>
    <row r="601" spans="1:10" x14ac:dyDescent="0.25">
      <c r="A601" t="s">
        <v>6</v>
      </c>
      <c r="B601" t="s">
        <v>48</v>
      </c>
      <c r="C601" t="s">
        <v>320</v>
      </c>
      <c r="D601">
        <v>711620</v>
      </c>
      <c r="E601" t="s">
        <v>10</v>
      </c>
      <c r="F601">
        <v>61.920299999999997</v>
      </c>
      <c r="G601">
        <v>-113.7264</v>
      </c>
      <c r="H601">
        <v>-7</v>
      </c>
      <c r="I601">
        <v>165.2</v>
      </c>
      <c r="J601" t="str">
        <f>HYPERLINK("https://climate.onebuilding.org/WMO_Region_4_North_and_Central_America/CAN_Canada/NT_Northwest_Territories/CAN_NT_Inner.Whalebacks-Great.Slave.Lake.711620_TMYx.2007-2021.zip")</f>
        <v>https://climate.onebuilding.org/WMO_Region_4_North_and_Central_America/CAN_Canada/NT_Northwest_Territories/CAN_NT_Inner.Whalebacks-Great.Slave.Lake.711620_TMYx.2007-2021.zip</v>
      </c>
    </row>
    <row r="602" spans="1:10" x14ac:dyDescent="0.25">
      <c r="A602" t="s">
        <v>6</v>
      </c>
      <c r="B602" t="s">
        <v>48</v>
      </c>
      <c r="C602" t="s">
        <v>320</v>
      </c>
      <c r="D602">
        <v>711620</v>
      </c>
      <c r="E602" t="s">
        <v>10</v>
      </c>
      <c r="F602">
        <v>61.920299999999997</v>
      </c>
      <c r="G602">
        <v>-113.7264</v>
      </c>
      <c r="H602">
        <v>-7</v>
      </c>
      <c r="I602">
        <v>165.2</v>
      </c>
      <c r="J602" t="str">
        <f>HYPERLINK("https://climate.onebuilding.org/WMO_Region_4_North_and_Central_America/CAN_Canada/NT_Northwest_Territories/CAN_NT_Inner.Whalebacks-Great.Slave.Lake.711620_TMYx.2009-2023.zip")</f>
        <v>https://climate.onebuilding.org/WMO_Region_4_North_and_Central_America/CAN_Canada/NT_Northwest_Territories/CAN_NT_Inner.Whalebacks-Great.Slave.Lake.711620_TMYx.2009-2023.zip</v>
      </c>
    </row>
    <row r="603" spans="1:10" x14ac:dyDescent="0.25">
      <c r="A603" t="s">
        <v>6</v>
      </c>
      <c r="B603" t="s">
        <v>48</v>
      </c>
      <c r="C603" t="s">
        <v>320</v>
      </c>
      <c r="D603">
        <v>711620</v>
      </c>
      <c r="E603" t="s">
        <v>10</v>
      </c>
      <c r="F603">
        <v>61.920299999999997</v>
      </c>
      <c r="G603">
        <v>-113.7264</v>
      </c>
      <c r="H603">
        <v>-7</v>
      </c>
      <c r="I603">
        <v>165.2</v>
      </c>
      <c r="J603" t="str">
        <f>HYPERLINK("https://climate.onebuilding.org/WMO_Region_4_North_and_Central_America/CAN_Canada/NT_Northwest_Territories/CAN_NT_Inner.Whalebacks-Great.Slave.Lake.711620_TMYx.zip")</f>
        <v>https://climate.onebuilding.org/WMO_Region_4_North_and_Central_America/CAN_Canada/NT_Northwest_Territories/CAN_NT_Inner.Whalebacks-Great.Slave.Lake.711620_TMYx.zip</v>
      </c>
    </row>
    <row r="604" spans="1:10" x14ac:dyDescent="0.25">
      <c r="A604" t="s">
        <v>6</v>
      </c>
      <c r="B604" t="s">
        <v>48</v>
      </c>
      <c r="C604" t="s">
        <v>322</v>
      </c>
      <c r="D604">
        <v>711630</v>
      </c>
      <c r="E604" t="s">
        <v>323</v>
      </c>
      <c r="F604">
        <v>63.133600000000001</v>
      </c>
      <c r="G604">
        <v>-117.24469999999999</v>
      </c>
      <c r="H604">
        <v>-7</v>
      </c>
      <c r="I604">
        <v>271.3</v>
      </c>
      <c r="J604" t="str">
        <f>HYPERLINK("https://climate.onebuilding.org/WMO_Region_4_North_and_Central_America/CAN_Canada/NT_Northwest_Territories/CAN_NT_Lac.la.Martre-Whati.AP.711630_TMYx.2004-2018.zip")</f>
        <v>https://climate.onebuilding.org/WMO_Region_4_North_and_Central_America/CAN_Canada/NT_Northwest_Territories/CAN_NT_Lac.la.Martre-Whati.AP.711630_TMYx.2004-2018.zip</v>
      </c>
    </row>
    <row r="605" spans="1:10" x14ac:dyDescent="0.25">
      <c r="A605" t="s">
        <v>6</v>
      </c>
      <c r="B605" t="s">
        <v>48</v>
      </c>
      <c r="C605" t="s">
        <v>322</v>
      </c>
      <c r="D605">
        <v>711630</v>
      </c>
      <c r="E605" t="s">
        <v>10</v>
      </c>
      <c r="F605">
        <v>63.133600000000001</v>
      </c>
      <c r="G605">
        <v>-117.24469999999999</v>
      </c>
      <c r="H605">
        <v>-7</v>
      </c>
      <c r="I605">
        <v>271.3</v>
      </c>
      <c r="J605" t="str">
        <f>HYPERLINK("https://climate.onebuilding.org/WMO_Region_4_North_and_Central_America/CAN_Canada/NT_Northwest_Territories/CAN_NT_Lac.la.Martre-Whati.AP.711630_TMYx.2007-2021.zip")</f>
        <v>https://climate.onebuilding.org/WMO_Region_4_North_and_Central_America/CAN_Canada/NT_Northwest_Territories/CAN_NT_Lac.la.Martre-Whati.AP.711630_TMYx.2007-2021.zip</v>
      </c>
    </row>
    <row r="606" spans="1:10" x14ac:dyDescent="0.25">
      <c r="A606" t="s">
        <v>6</v>
      </c>
      <c r="B606" t="s">
        <v>48</v>
      </c>
      <c r="C606" t="s">
        <v>322</v>
      </c>
      <c r="D606">
        <v>711630</v>
      </c>
      <c r="E606" t="s">
        <v>10</v>
      </c>
      <c r="F606">
        <v>63.133600000000001</v>
      </c>
      <c r="G606">
        <v>-117.24469999999999</v>
      </c>
      <c r="H606">
        <v>-7</v>
      </c>
      <c r="I606">
        <v>271.3</v>
      </c>
      <c r="J606" t="str">
        <f>HYPERLINK("https://climate.onebuilding.org/WMO_Region_4_North_and_Central_America/CAN_Canada/NT_Northwest_Territories/CAN_NT_Lac.la.Martre-Whati.AP.711630_TMYx.2009-2023.zip")</f>
        <v>https://climate.onebuilding.org/WMO_Region_4_North_and_Central_America/CAN_Canada/NT_Northwest_Territories/CAN_NT_Lac.la.Martre-Whati.AP.711630_TMYx.2009-2023.zip</v>
      </c>
    </row>
    <row r="607" spans="1:10" x14ac:dyDescent="0.25">
      <c r="A607" t="s">
        <v>6</v>
      </c>
      <c r="B607" t="s">
        <v>48</v>
      </c>
      <c r="C607" t="s">
        <v>322</v>
      </c>
      <c r="D607">
        <v>711630</v>
      </c>
      <c r="E607" t="s">
        <v>10</v>
      </c>
      <c r="F607">
        <v>63.133600000000001</v>
      </c>
      <c r="G607">
        <v>-117.24469999999999</v>
      </c>
      <c r="H607">
        <v>-7</v>
      </c>
      <c r="I607">
        <v>271.3</v>
      </c>
      <c r="J607" t="str">
        <f>HYPERLINK("https://climate.onebuilding.org/WMO_Region_4_North_and_Central_America/CAN_Canada/NT_Northwest_Territories/CAN_NT_Lac.la.Martre-Whati.AP.711630_TMYx.zip")</f>
        <v>https://climate.onebuilding.org/WMO_Region_4_North_and_Central_America/CAN_Canada/NT_Northwest_Territories/CAN_NT_Lac.la.Martre-Whati.AP.711630_TMYx.zip</v>
      </c>
    </row>
    <row r="608" spans="1:10" x14ac:dyDescent="0.25">
      <c r="A608" t="s">
        <v>6</v>
      </c>
      <c r="B608" t="s">
        <v>48</v>
      </c>
      <c r="C608" t="s">
        <v>324</v>
      </c>
      <c r="D608">
        <v>711640</v>
      </c>
      <c r="E608" t="s">
        <v>325</v>
      </c>
      <c r="F608">
        <v>67.167000000000002</v>
      </c>
      <c r="G608">
        <v>-130.21700000000001</v>
      </c>
      <c r="H608">
        <v>-7</v>
      </c>
      <c r="I608">
        <v>63</v>
      </c>
      <c r="J608" t="str">
        <f>HYPERLINK("https://climate.onebuilding.org/WMO_Region_4_North_and_Central_America/CAN_Canada/NT_Northwest_Territories/CAN_NT_Little.Chicago.711640_TMYx.2004-2018.zip")</f>
        <v>https://climate.onebuilding.org/WMO_Region_4_North_and_Central_America/CAN_Canada/NT_Northwest_Territories/CAN_NT_Little.Chicago.711640_TMYx.2004-2018.zip</v>
      </c>
    </row>
    <row r="609" spans="1:10" x14ac:dyDescent="0.25">
      <c r="A609" t="s">
        <v>6</v>
      </c>
      <c r="B609" t="s">
        <v>48</v>
      </c>
      <c r="C609" t="s">
        <v>324</v>
      </c>
      <c r="D609">
        <v>711640</v>
      </c>
      <c r="E609" t="s">
        <v>10</v>
      </c>
      <c r="F609">
        <v>67.180000000000007</v>
      </c>
      <c r="G609">
        <v>-130.22999999999999</v>
      </c>
      <c r="H609">
        <v>-7</v>
      </c>
      <c r="I609">
        <v>63</v>
      </c>
      <c r="J609" t="str">
        <f>HYPERLINK("https://climate.onebuilding.org/WMO_Region_4_North_and_Central_America/CAN_Canada/NT_Northwest_Territories/CAN_NT_Little.Chicago.711640_TMYx.2007-2021.zip")</f>
        <v>https://climate.onebuilding.org/WMO_Region_4_North_and_Central_America/CAN_Canada/NT_Northwest_Territories/CAN_NT_Little.Chicago.711640_TMYx.2007-2021.zip</v>
      </c>
    </row>
    <row r="610" spans="1:10" x14ac:dyDescent="0.25">
      <c r="A610" t="s">
        <v>6</v>
      </c>
      <c r="B610" t="s">
        <v>48</v>
      </c>
      <c r="C610" t="s">
        <v>324</v>
      </c>
      <c r="D610">
        <v>711640</v>
      </c>
      <c r="E610" t="s">
        <v>10</v>
      </c>
      <c r="F610">
        <v>67.180000000000007</v>
      </c>
      <c r="G610">
        <v>-130.22999999999999</v>
      </c>
      <c r="H610">
        <v>-7</v>
      </c>
      <c r="I610">
        <v>63</v>
      </c>
      <c r="J610" t="str">
        <f>HYPERLINK("https://climate.onebuilding.org/WMO_Region_4_North_and_Central_America/CAN_Canada/NT_Northwest_Territories/CAN_NT_Little.Chicago.711640_TMYx.2009-2023.zip")</f>
        <v>https://climate.onebuilding.org/WMO_Region_4_North_and_Central_America/CAN_Canada/NT_Northwest_Territories/CAN_NT_Little.Chicago.711640_TMYx.2009-2023.zip</v>
      </c>
    </row>
    <row r="611" spans="1:10" x14ac:dyDescent="0.25">
      <c r="A611" t="s">
        <v>6</v>
      </c>
      <c r="B611" t="s">
        <v>48</v>
      </c>
      <c r="C611" t="s">
        <v>324</v>
      </c>
      <c r="D611">
        <v>711640</v>
      </c>
      <c r="E611" t="s">
        <v>10</v>
      </c>
      <c r="F611">
        <v>67.180000000000007</v>
      </c>
      <c r="G611">
        <v>-130.22999999999999</v>
      </c>
      <c r="H611">
        <v>-7</v>
      </c>
      <c r="I611">
        <v>63</v>
      </c>
      <c r="J611" t="str">
        <f>HYPERLINK("https://climate.onebuilding.org/WMO_Region_4_North_and_Central_America/CAN_Canada/NT_Northwest_Territories/CAN_NT_Little.Chicago.711640_TMYx.zip")</f>
        <v>https://climate.onebuilding.org/WMO_Region_4_North_and_Central_America/CAN_Canada/NT_Northwest_Territories/CAN_NT_Little.Chicago.711640_TMYx.zip</v>
      </c>
    </row>
    <row r="612" spans="1:10" x14ac:dyDescent="0.25">
      <c r="A612" t="s">
        <v>6</v>
      </c>
      <c r="B612" t="s">
        <v>48</v>
      </c>
      <c r="C612" t="s">
        <v>326</v>
      </c>
      <c r="D612">
        <v>711650</v>
      </c>
      <c r="E612" t="s">
        <v>327</v>
      </c>
      <c r="F612">
        <v>64.111699999999999</v>
      </c>
      <c r="G612">
        <v>-117.3278</v>
      </c>
      <c r="H612">
        <v>-7</v>
      </c>
      <c r="I612">
        <v>223.2</v>
      </c>
      <c r="J612" t="str">
        <f>HYPERLINK("https://climate.onebuilding.org/WMO_Region_4_North_and_Central_America/CAN_Canada/NT_Northwest_Territories/CAN_NT_Rae.Lakes.AP.711650_TMYx.2004-2018.zip")</f>
        <v>https://climate.onebuilding.org/WMO_Region_4_North_and_Central_America/CAN_Canada/NT_Northwest_Territories/CAN_NT_Rae.Lakes.AP.711650_TMYx.2004-2018.zip</v>
      </c>
    </row>
    <row r="613" spans="1:10" x14ac:dyDescent="0.25">
      <c r="A613" t="s">
        <v>6</v>
      </c>
      <c r="B613" t="s">
        <v>48</v>
      </c>
      <c r="C613" t="s">
        <v>326</v>
      </c>
      <c r="D613">
        <v>711650</v>
      </c>
      <c r="E613" t="s">
        <v>10</v>
      </c>
      <c r="F613">
        <v>64.114999999999995</v>
      </c>
      <c r="G613">
        <v>-117.31310000000001</v>
      </c>
      <c r="H613">
        <v>-7</v>
      </c>
      <c r="I613">
        <v>223.2</v>
      </c>
      <c r="J613" t="str">
        <f>HYPERLINK("https://climate.onebuilding.org/WMO_Region_4_North_and_Central_America/CAN_Canada/NT_Northwest_Territories/CAN_NT_Rae.Lakes.AP.711650_TMYx.2007-2021.zip")</f>
        <v>https://climate.onebuilding.org/WMO_Region_4_North_and_Central_America/CAN_Canada/NT_Northwest_Territories/CAN_NT_Rae.Lakes.AP.711650_TMYx.2007-2021.zip</v>
      </c>
    </row>
    <row r="614" spans="1:10" x14ac:dyDescent="0.25">
      <c r="A614" t="s">
        <v>6</v>
      </c>
      <c r="B614" t="s">
        <v>48</v>
      </c>
      <c r="C614" t="s">
        <v>326</v>
      </c>
      <c r="D614">
        <v>711650</v>
      </c>
      <c r="E614" t="s">
        <v>10</v>
      </c>
      <c r="F614">
        <v>64.114999999999995</v>
      </c>
      <c r="G614">
        <v>-117.31310000000001</v>
      </c>
      <c r="H614">
        <v>-7</v>
      </c>
      <c r="I614">
        <v>223.2</v>
      </c>
      <c r="J614" t="str">
        <f>HYPERLINK("https://climate.onebuilding.org/WMO_Region_4_North_and_Central_America/CAN_Canada/NT_Northwest_Territories/CAN_NT_Rae.Lakes.AP.711650_TMYx.2009-2023.zip")</f>
        <v>https://climate.onebuilding.org/WMO_Region_4_North_and_Central_America/CAN_Canada/NT_Northwest_Territories/CAN_NT_Rae.Lakes.AP.711650_TMYx.2009-2023.zip</v>
      </c>
    </row>
    <row r="615" spans="1:10" x14ac:dyDescent="0.25">
      <c r="A615" t="s">
        <v>6</v>
      </c>
      <c r="B615" t="s">
        <v>48</v>
      </c>
      <c r="C615" t="s">
        <v>326</v>
      </c>
      <c r="D615">
        <v>711650</v>
      </c>
      <c r="E615" t="s">
        <v>10</v>
      </c>
      <c r="F615">
        <v>64.114999999999995</v>
      </c>
      <c r="G615">
        <v>-117.31310000000001</v>
      </c>
      <c r="H615">
        <v>-7</v>
      </c>
      <c r="I615">
        <v>223.2</v>
      </c>
      <c r="J615" t="str">
        <f>HYPERLINK("https://climate.onebuilding.org/WMO_Region_4_North_and_Central_America/CAN_Canada/NT_Northwest_Territories/CAN_NT_Rae.Lakes.AP.711650_TMYx.zip")</f>
        <v>https://climate.onebuilding.org/WMO_Region_4_North_and_Central_America/CAN_Canada/NT_Northwest_Territories/CAN_NT_Rae.Lakes.AP.711650_TMYx.zip</v>
      </c>
    </row>
    <row r="616" spans="1:10" x14ac:dyDescent="0.25">
      <c r="A616" t="s">
        <v>6</v>
      </c>
      <c r="B616" t="s">
        <v>48</v>
      </c>
      <c r="C616" t="s">
        <v>328</v>
      </c>
      <c r="D616">
        <v>711660</v>
      </c>
      <c r="E616" t="s">
        <v>329</v>
      </c>
      <c r="F616">
        <v>60.440800000000003</v>
      </c>
      <c r="G616">
        <v>-121.2389</v>
      </c>
      <c r="H616">
        <v>-7</v>
      </c>
      <c r="I616">
        <v>498</v>
      </c>
      <c r="J616" t="str">
        <f>HYPERLINK("https://climate.onebuilding.org/WMO_Region_4_North_and_Central_America/CAN_Canada/NT_Northwest_Territories/CAN_NT_Trout.Lake.AP.711660_TMYx.2004-2018.zip")</f>
        <v>https://climate.onebuilding.org/WMO_Region_4_North_and_Central_America/CAN_Canada/NT_Northwest_Territories/CAN_NT_Trout.Lake.AP.711660_TMYx.2004-2018.zip</v>
      </c>
    </row>
    <row r="617" spans="1:10" x14ac:dyDescent="0.25">
      <c r="A617" t="s">
        <v>6</v>
      </c>
      <c r="B617" t="s">
        <v>48</v>
      </c>
      <c r="C617" t="s">
        <v>328</v>
      </c>
      <c r="D617">
        <v>711660</v>
      </c>
      <c r="E617" t="s">
        <v>10</v>
      </c>
      <c r="F617">
        <v>60.44</v>
      </c>
      <c r="G617">
        <v>-121.24</v>
      </c>
      <c r="H617">
        <v>-7</v>
      </c>
      <c r="I617">
        <v>498</v>
      </c>
      <c r="J617" t="str">
        <f>HYPERLINK("https://climate.onebuilding.org/WMO_Region_4_North_and_Central_America/CAN_Canada/NT_Northwest_Territories/CAN_NT_Trout.Lake.AP.711660_TMYx.2007-2021.zip")</f>
        <v>https://climate.onebuilding.org/WMO_Region_4_North_and_Central_America/CAN_Canada/NT_Northwest_Territories/CAN_NT_Trout.Lake.AP.711660_TMYx.2007-2021.zip</v>
      </c>
    </row>
    <row r="618" spans="1:10" x14ac:dyDescent="0.25">
      <c r="A618" t="s">
        <v>6</v>
      </c>
      <c r="B618" t="s">
        <v>48</v>
      </c>
      <c r="C618" t="s">
        <v>328</v>
      </c>
      <c r="D618">
        <v>711660</v>
      </c>
      <c r="E618" t="s">
        <v>10</v>
      </c>
      <c r="F618">
        <v>60.44</v>
      </c>
      <c r="G618">
        <v>-121.24</v>
      </c>
      <c r="H618">
        <v>-7</v>
      </c>
      <c r="I618">
        <v>498</v>
      </c>
      <c r="J618" t="str">
        <f>HYPERLINK("https://climate.onebuilding.org/WMO_Region_4_North_and_Central_America/CAN_Canada/NT_Northwest_Territories/CAN_NT_Trout.Lake.AP.711660_TMYx.2009-2023.zip")</f>
        <v>https://climate.onebuilding.org/WMO_Region_4_North_and_Central_America/CAN_Canada/NT_Northwest_Territories/CAN_NT_Trout.Lake.AP.711660_TMYx.2009-2023.zip</v>
      </c>
    </row>
    <row r="619" spans="1:10" x14ac:dyDescent="0.25">
      <c r="A619" t="s">
        <v>6</v>
      </c>
      <c r="B619" t="s">
        <v>48</v>
      </c>
      <c r="C619" t="s">
        <v>328</v>
      </c>
      <c r="D619">
        <v>711660</v>
      </c>
      <c r="E619" t="s">
        <v>10</v>
      </c>
      <c r="F619">
        <v>60.44</v>
      </c>
      <c r="G619">
        <v>-121.24</v>
      </c>
      <c r="H619">
        <v>-7</v>
      </c>
      <c r="I619">
        <v>498</v>
      </c>
      <c r="J619" t="str">
        <f>HYPERLINK("https://climate.onebuilding.org/WMO_Region_4_North_and_Central_America/CAN_Canada/NT_Northwest_Territories/CAN_NT_Trout.Lake.AP.711660_TMYx.zip")</f>
        <v>https://climate.onebuilding.org/WMO_Region_4_North_and_Central_America/CAN_Canada/NT_Northwest_Territories/CAN_NT_Trout.Lake.AP.711660_TMYx.zip</v>
      </c>
    </row>
    <row r="620" spans="1:10" x14ac:dyDescent="0.25">
      <c r="A620" t="s">
        <v>6</v>
      </c>
      <c r="B620" t="s">
        <v>94</v>
      </c>
      <c r="C620" t="s">
        <v>330</v>
      </c>
      <c r="D620">
        <v>711700</v>
      </c>
      <c r="E620" t="s">
        <v>331</v>
      </c>
      <c r="F620">
        <v>49.905799999999999</v>
      </c>
      <c r="G620">
        <v>-99.357500000000002</v>
      </c>
      <c r="H620">
        <v>-6</v>
      </c>
      <c r="I620">
        <v>383.5</v>
      </c>
      <c r="J620" t="str">
        <f>HYPERLINK("https://climate.onebuilding.org/WMO_Region_4_North_and_Central_America/CAN_Canada/MB_Manitoba/CAN_MB_Carberry.711700_TMYx.2004-2018.zip")</f>
        <v>https://climate.onebuilding.org/WMO_Region_4_North_and_Central_America/CAN_Canada/MB_Manitoba/CAN_MB_Carberry.711700_TMYx.2004-2018.zip</v>
      </c>
    </row>
    <row r="621" spans="1:10" x14ac:dyDescent="0.25">
      <c r="A621" t="s">
        <v>6</v>
      </c>
      <c r="B621" t="s">
        <v>94</v>
      </c>
      <c r="C621" t="s">
        <v>330</v>
      </c>
      <c r="D621">
        <v>711700</v>
      </c>
      <c r="E621" t="s">
        <v>10</v>
      </c>
      <c r="F621">
        <v>49.905799999999999</v>
      </c>
      <c r="G621">
        <v>-99.357500000000002</v>
      </c>
      <c r="H621">
        <v>-6</v>
      </c>
      <c r="I621">
        <v>383.5</v>
      </c>
      <c r="J621" t="str">
        <f>HYPERLINK("https://climate.onebuilding.org/WMO_Region_4_North_and_Central_America/CAN_Canada/MB_Manitoba/CAN_MB_Carberry.711700_TMYx.2007-2021.zip")</f>
        <v>https://climate.onebuilding.org/WMO_Region_4_North_and_Central_America/CAN_Canada/MB_Manitoba/CAN_MB_Carberry.711700_TMYx.2007-2021.zip</v>
      </c>
    </row>
    <row r="622" spans="1:10" x14ac:dyDescent="0.25">
      <c r="A622" t="s">
        <v>6</v>
      </c>
      <c r="B622" t="s">
        <v>94</v>
      </c>
      <c r="C622" t="s">
        <v>330</v>
      </c>
      <c r="D622">
        <v>711700</v>
      </c>
      <c r="E622" t="s">
        <v>10</v>
      </c>
      <c r="F622">
        <v>49.905799999999999</v>
      </c>
      <c r="G622">
        <v>-99.357500000000002</v>
      </c>
      <c r="H622">
        <v>-6</v>
      </c>
      <c r="I622">
        <v>383.5</v>
      </c>
      <c r="J622" t="str">
        <f>HYPERLINK("https://climate.onebuilding.org/WMO_Region_4_North_and_Central_America/CAN_Canada/MB_Manitoba/CAN_MB_Carberry.711700_TMYx.2009-2023.zip")</f>
        <v>https://climate.onebuilding.org/WMO_Region_4_North_and_Central_America/CAN_Canada/MB_Manitoba/CAN_MB_Carberry.711700_TMYx.2009-2023.zip</v>
      </c>
    </row>
    <row r="623" spans="1:10" x14ac:dyDescent="0.25">
      <c r="A623" t="s">
        <v>6</v>
      </c>
      <c r="B623" t="s">
        <v>94</v>
      </c>
      <c r="C623" t="s">
        <v>330</v>
      </c>
      <c r="D623">
        <v>711700</v>
      </c>
      <c r="E623" t="s">
        <v>10</v>
      </c>
      <c r="F623">
        <v>49.905799999999999</v>
      </c>
      <c r="G623">
        <v>-99.357500000000002</v>
      </c>
      <c r="H623">
        <v>-6</v>
      </c>
      <c r="I623">
        <v>383.5</v>
      </c>
      <c r="J623" t="str">
        <f>HYPERLINK("https://climate.onebuilding.org/WMO_Region_4_North_and_Central_America/CAN_Canada/MB_Manitoba/CAN_MB_Carberry.711700_TMYx.zip")</f>
        <v>https://climate.onebuilding.org/WMO_Region_4_North_and_Central_America/CAN_Canada/MB_Manitoba/CAN_MB_Carberry.711700_TMYx.zip</v>
      </c>
    </row>
    <row r="624" spans="1:10" x14ac:dyDescent="0.25">
      <c r="A624" t="s">
        <v>6</v>
      </c>
      <c r="B624" t="s">
        <v>130</v>
      </c>
      <c r="C624" t="s">
        <v>332</v>
      </c>
      <c r="D624">
        <v>711710</v>
      </c>
      <c r="E624" t="s">
        <v>333</v>
      </c>
      <c r="F624">
        <v>43.183300000000003</v>
      </c>
      <c r="G624">
        <v>-79.400000000000006</v>
      </c>
      <c r="H624">
        <v>-5</v>
      </c>
      <c r="I624">
        <v>79.2</v>
      </c>
      <c r="J624" t="str">
        <f>HYPERLINK("https://climate.onebuilding.org/WMO_Region_4_North_and_Central_America/CAN_Canada/ON_Ontario/CAN_ON_Vineland.Stn.RCS.711710_TMYx.2004-2018.zip")</f>
        <v>https://climate.onebuilding.org/WMO_Region_4_North_and_Central_America/CAN_Canada/ON_Ontario/CAN_ON_Vineland.Stn.RCS.711710_TMYx.2004-2018.zip</v>
      </c>
    </row>
    <row r="625" spans="1:10" x14ac:dyDescent="0.25">
      <c r="A625" t="s">
        <v>6</v>
      </c>
      <c r="B625" t="s">
        <v>130</v>
      </c>
      <c r="C625" t="s">
        <v>332</v>
      </c>
      <c r="D625">
        <v>711710</v>
      </c>
      <c r="E625" t="s">
        <v>10</v>
      </c>
      <c r="F625">
        <v>43.191000000000003</v>
      </c>
      <c r="G625">
        <v>-79.399000000000001</v>
      </c>
      <c r="H625">
        <v>-5</v>
      </c>
      <c r="I625">
        <v>79.2</v>
      </c>
      <c r="J625" t="str">
        <f>HYPERLINK("https://climate.onebuilding.org/WMO_Region_4_North_and_Central_America/CAN_Canada/ON_Ontario/CAN_ON_Vineland.Stn.RCS.711710_TMYx.2007-2021.zip")</f>
        <v>https://climate.onebuilding.org/WMO_Region_4_North_and_Central_America/CAN_Canada/ON_Ontario/CAN_ON_Vineland.Stn.RCS.711710_TMYx.2007-2021.zip</v>
      </c>
    </row>
    <row r="626" spans="1:10" x14ac:dyDescent="0.25">
      <c r="A626" t="s">
        <v>6</v>
      </c>
      <c r="B626" t="s">
        <v>130</v>
      </c>
      <c r="C626" t="s">
        <v>332</v>
      </c>
      <c r="D626">
        <v>711710</v>
      </c>
      <c r="E626" t="s">
        <v>10</v>
      </c>
      <c r="F626">
        <v>43.191000000000003</v>
      </c>
      <c r="G626">
        <v>-79.399000000000001</v>
      </c>
      <c r="H626">
        <v>-5</v>
      </c>
      <c r="I626">
        <v>79.2</v>
      </c>
      <c r="J626" t="str">
        <f>HYPERLINK("https://climate.onebuilding.org/WMO_Region_4_North_and_Central_America/CAN_Canada/ON_Ontario/CAN_ON_Vineland.Stn.RCS.711710_TMYx.2009-2023.zip")</f>
        <v>https://climate.onebuilding.org/WMO_Region_4_North_and_Central_America/CAN_Canada/ON_Ontario/CAN_ON_Vineland.Stn.RCS.711710_TMYx.2009-2023.zip</v>
      </c>
    </row>
    <row r="627" spans="1:10" x14ac:dyDescent="0.25">
      <c r="A627" t="s">
        <v>6</v>
      </c>
      <c r="B627" t="s">
        <v>130</v>
      </c>
      <c r="C627" t="s">
        <v>332</v>
      </c>
      <c r="D627">
        <v>711710</v>
      </c>
      <c r="E627" t="s">
        <v>10</v>
      </c>
      <c r="F627">
        <v>43.191000000000003</v>
      </c>
      <c r="G627">
        <v>-79.399000000000001</v>
      </c>
      <c r="H627">
        <v>-5</v>
      </c>
      <c r="I627">
        <v>79.2</v>
      </c>
      <c r="J627" t="str">
        <f>HYPERLINK("https://climate.onebuilding.org/WMO_Region_4_North_and_Central_America/CAN_Canada/ON_Ontario/CAN_ON_Vineland.Stn.RCS.711710_TMYx.zip")</f>
        <v>https://climate.onebuilding.org/WMO_Region_4_North_and_Central_America/CAN_Canada/ON_Ontario/CAN_ON_Vineland.Stn.RCS.711710_TMYx.zip</v>
      </c>
    </row>
    <row r="628" spans="1:10" x14ac:dyDescent="0.25">
      <c r="A628" t="s">
        <v>6</v>
      </c>
      <c r="B628" t="s">
        <v>130</v>
      </c>
      <c r="C628" t="s">
        <v>334</v>
      </c>
      <c r="D628">
        <v>711720</v>
      </c>
      <c r="E628" t="s">
        <v>335</v>
      </c>
      <c r="F628">
        <v>45.332999999999998</v>
      </c>
      <c r="G628">
        <v>-80.033000000000001</v>
      </c>
      <c r="H628">
        <v>-5</v>
      </c>
      <c r="I628">
        <v>176</v>
      </c>
      <c r="J628" t="str">
        <f>HYPERLINK("https://climate.onebuilding.org/WMO_Region_4_North_and_Central_America/CAN_Canada/ON_Ontario/CAN_ON_Parry.Sound.CCG.711720_TMYx.2004-2018.zip")</f>
        <v>https://climate.onebuilding.org/WMO_Region_4_North_and_Central_America/CAN_Canada/ON_Ontario/CAN_ON_Parry.Sound.CCG.711720_TMYx.2004-2018.zip</v>
      </c>
    </row>
    <row r="629" spans="1:10" x14ac:dyDescent="0.25">
      <c r="A629" t="s">
        <v>6</v>
      </c>
      <c r="B629" t="s">
        <v>130</v>
      </c>
      <c r="C629" t="s">
        <v>334</v>
      </c>
      <c r="D629">
        <v>711720</v>
      </c>
      <c r="E629" t="s">
        <v>10</v>
      </c>
      <c r="F629">
        <v>45.344000000000001</v>
      </c>
      <c r="G629">
        <v>-80.042000000000002</v>
      </c>
      <c r="H629">
        <v>-5</v>
      </c>
      <c r="I629">
        <v>176</v>
      </c>
      <c r="J629" t="str">
        <f>HYPERLINK("https://climate.onebuilding.org/WMO_Region_4_North_and_Central_America/CAN_Canada/ON_Ontario/CAN_ON_Parry.Sound.CCG.711720_TMYx.2007-2021.zip")</f>
        <v>https://climate.onebuilding.org/WMO_Region_4_North_and_Central_America/CAN_Canada/ON_Ontario/CAN_ON_Parry.Sound.CCG.711720_TMYx.2007-2021.zip</v>
      </c>
    </row>
    <row r="630" spans="1:10" x14ac:dyDescent="0.25">
      <c r="A630" t="s">
        <v>6</v>
      </c>
      <c r="B630" t="s">
        <v>130</v>
      </c>
      <c r="C630" t="s">
        <v>334</v>
      </c>
      <c r="D630">
        <v>711720</v>
      </c>
      <c r="E630" t="s">
        <v>10</v>
      </c>
      <c r="F630">
        <v>45.344000000000001</v>
      </c>
      <c r="G630">
        <v>-80.042000000000002</v>
      </c>
      <c r="H630">
        <v>-5</v>
      </c>
      <c r="I630">
        <v>176</v>
      </c>
      <c r="J630" t="str">
        <f>HYPERLINK("https://climate.onebuilding.org/WMO_Region_4_North_and_Central_America/CAN_Canada/ON_Ontario/CAN_ON_Parry.Sound.CCG.711720_TMYx.2009-2023.zip")</f>
        <v>https://climate.onebuilding.org/WMO_Region_4_North_and_Central_America/CAN_Canada/ON_Ontario/CAN_ON_Parry.Sound.CCG.711720_TMYx.2009-2023.zip</v>
      </c>
    </row>
    <row r="631" spans="1:10" x14ac:dyDescent="0.25">
      <c r="A631" t="s">
        <v>6</v>
      </c>
      <c r="B631" t="s">
        <v>130</v>
      </c>
      <c r="C631" t="s">
        <v>334</v>
      </c>
      <c r="D631">
        <v>711720</v>
      </c>
      <c r="E631" t="s">
        <v>10</v>
      </c>
      <c r="F631">
        <v>45.344000000000001</v>
      </c>
      <c r="G631">
        <v>-80.042000000000002</v>
      </c>
      <c r="H631">
        <v>-5</v>
      </c>
      <c r="I631">
        <v>176</v>
      </c>
      <c r="J631" t="str">
        <f>HYPERLINK("https://climate.onebuilding.org/WMO_Region_4_North_and_Central_America/CAN_Canada/ON_Ontario/CAN_ON_Parry.Sound.CCG.711720_TMYx.zip")</f>
        <v>https://climate.onebuilding.org/WMO_Region_4_North_and_Central_America/CAN_Canada/ON_Ontario/CAN_ON_Parry.Sound.CCG.711720_TMYx.zip</v>
      </c>
    </row>
    <row r="632" spans="1:10" x14ac:dyDescent="0.25">
      <c r="A632" t="s">
        <v>6</v>
      </c>
      <c r="B632" t="s">
        <v>42</v>
      </c>
      <c r="C632" t="s">
        <v>336</v>
      </c>
      <c r="D632">
        <v>711740</v>
      </c>
      <c r="E632" t="s">
        <v>337</v>
      </c>
      <c r="F632">
        <v>61.093899999999998</v>
      </c>
      <c r="G632">
        <v>-94.071700000000007</v>
      </c>
      <c r="H632">
        <v>-6</v>
      </c>
      <c r="I632">
        <v>10.4</v>
      </c>
      <c r="J632" t="str">
        <f>HYPERLINK("https://climate.onebuilding.org/WMO_Region_4_North_and_Central_America/CAN_Canada/NU_Nunavut/CAN_NU_Arviat.AP.711740_TMYx.2004-2018.zip")</f>
        <v>https://climate.onebuilding.org/WMO_Region_4_North_and_Central_America/CAN_Canada/NU_Nunavut/CAN_NU_Arviat.AP.711740_TMYx.2004-2018.zip</v>
      </c>
    </row>
    <row r="633" spans="1:10" x14ac:dyDescent="0.25">
      <c r="A633" t="s">
        <v>6</v>
      </c>
      <c r="B633" t="s">
        <v>42</v>
      </c>
      <c r="C633" t="s">
        <v>336</v>
      </c>
      <c r="D633">
        <v>711740</v>
      </c>
      <c r="E633" t="s">
        <v>10</v>
      </c>
      <c r="F633">
        <v>61.097999999999999</v>
      </c>
      <c r="G633">
        <v>-94.069000000000003</v>
      </c>
      <c r="H633">
        <v>-6</v>
      </c>
      <c r="I633">
        <v>10.4</v>
      </c>
      <c r="J633" t="str">
        <f>HYPERLINK("https://climate.onebuilding.org/WMO_Region_4_North_and_Central_America/CAN_Canada/NU_Nunavut/CAN_NU_Arviat.AP.711740_TMYx.2007-2021.zip")</f>
        <v>https://climate.onebuilding.org/WMO_Region_4_North_and_Central_America/CAN_Canada/NU_Nunavut/CAN_NU_Arviat.AP.711740_TMYx.2007-2021.zip</v>
      </c>
    </row>
    <row r="634" spans="1:10" x14ac:dyDescent="0.25">
      <c r="A634" t="s">
        <v>6</v>
      </c>
      <c r="B634" t="s">
        <v>42</v>
      </c>
      <c r="C634" t="s">
        <v>336</v>
      </c>
      <c r="D634">
        <v>711740</v>
      </c>
      <c r="E634" t="s">
        <v>10</v>
      </c>
      <c r="F634">
        <v>61.097999999999999</v>
      </c>
      <c r="G634">
        <v>-94.069000000000003</v>
      </c>
      <c r="H634">
        <v>-6</v>
      </c>
      <c r="I634">
        <v>10.4</v>
      </c>
      <c r="J634" t="str">
        <f>HYPERLINK("https://climate.onebuilding.org/WMO_Region_4_North_and_Central_America/CAN_Canada/NU_Nunavut/CAN_NU_Arviat.AP.711740_TMYx.2009-2023.zip")</f>
        <v>https://climate.onebuilding.org/WMO_Region_4_North_and_Central_America/CAN_Canada/NU_Nunavut/CAN_NU_Arviat.AP.711740_TMYx.2009-2023.zip</v>
      </c>
    </row>
    <row r="635" spans="1:10" x14ac:dyDescent="0.25">
      <c r="A635" t="s">
        <v>6</v>
      </c>
      <c r="B635" t="s">
        <v>42</v>
      </c>
      <c r="C635" t="s">
        <v>336</v>
      </c>
      <c r="D635">
        <v>711740</v>
      </c>
      <c r="E635" t="s">
        <v>10</v>
      </c>
      <c r="F635">
        <v>61.097999999999999</v>
      </c>
      <c r="G635">
        <v>-94.069000000000003</v>
      </c>
      <c r="H635">
        <v>-6</v>
      </c>
      <c r="I635">
        <v>10.4</v>
      </c>
      <c r="J635" t="str">
        <f>HYPERLINK("https://climate.onebuilding.org/WMO_Region_4_North_and_Central_America/CAN_Canada/NU_Nunavut/CAN_NU_Arviat.AP.711740_TMYx.zip")</f>
        <v>https://climate.onebuilding.org/WMO_Region_4_North_and_Central_America/CAN_Canada/NU_Nunavut/CAN_NU_Arviat.AP.711740_TMYx.zip</v>
      </c>
    </row>
    <row r="636" spans="1:10" x14ac:dyDescent="0.25">
      <c r="A636" t="s">
        <v>6</v>
      </c>
      <c r="B636" t="s">
        <v>55</v>
      </c>
      <c r="C636" t="s">
        <v>338</v>
      </c>
      <c r="D636">
        <v>711750</v>
      </c>
      <c r="E636" t="s">
        <v>339</v>
      </c>
      <c r="F636">
        <v>50.133000000000003</v>
      </c>
      <c r="G636">
        <v>-122.95</v>
      </c>
      <c r="H636">
        <v>-8</v>
      </c>
      <c r="I636">
        <v>658</v>
      </c>
      <c r="J636" t="str">
        <f>HYPERLINK("https://climate.onebuilding.org/WMO_Region_4_North_and_Central_America/CAN_Canada/BC_British_Columbia/CAN_BC_Whistler-Nesters-Spruce.Grove.Park.711750_TMYx.2004-2018.zip")</f>
        <v>https://climate.onebuilding.org/WMO_Region_4_North_and_Central_America/CAN_Canada/BC_British_Columbia/CAN_BC_Whistler-Nesters-Spruce.Grove.Park.711750_TMYx.2004-2018.zip</v>
      </c>
    </row>
    <row r="637" spans="1:10" x14ac:dyDescent="0.25">
      <c r="A637" t="s">
        <v>6</v>
      </c>
      <c r="B637" t="s">
        <v>55</v>
      </c>
      <c r="C637" t="s">
        <v>338</v>
      </c>
      <c r="D637">
        <v>711750</v>
      </c>
      <c r="E637" t="s">
        <v>10</v>
      </c>
      <c r="F637">
        <v>45.920999999999999</v>
      </c>
      <c r="G637">
        <v>-60.646999999999998</v>
      </c>
      <c r="H637">
        <v>-8</v>
      </c>
      <c r="I637">
        <v>658</v>
      </c>
      <c r="J637" t="str">
        <f>HYPERLINK("https://climate.onebuilding.org/WMO_Region_4_North_and_Central_America/CAN_Canada/BC_British_Columbia/CAN_BC_Whistler-Nesters-Spruce.Grove.Park.711750_TMYx.2007-2021.zip")</f>
        <v>https://climate.onebuilding.org/WMO_Region_4_North_and_Central_America/CAN_Canada/BC_British_Columbia/CAN_BC_Whistler-Nesters-Spruce.Grove.Park.711750_TMYx.2007-2021.zip</v>
      </c>
    </row>
    <row r="638" spans="1:10" x14ac:dyDescent="0.25">
      <c r="A638" t="s">
        <v>6</v>
      </c>
      <c r="B638" t="s">
        <v>55</v>
      </c>
      <c r="C638" t="s">
        <v>338</v>
      </c>
      <c r="D638">
        <v>711750</v>
      </c>
      <c r="E638" t="s">
        <v>10</v>
      </c>
      <c r="F638">
        <v>45.920999999999999</v>
      </c>
      <c r="G638">
        <v>-60.646999999999998</v>
      </c>
      <c r="H638">
        <v>-8</v>
      </c>
      <c r="I638">
        <v>658</v>
      </c>
      <c r="J638" t="str">
        <f>HYPERLINK("https://climate.onebuilding.org/WMO_Region_4_North_and_Central_America/CAN_Canada/BC_British_Columbia/CAN_BC_Whistler-Nesters-Spruce.Grove.Park.711750_TMYx.2009-2023.zip")</f>
        <v>https://climate.onebuilding.org/WMO_Region_4_North_and_Central_America/CAN_Canada/BC_British_Columbia/CAN_BC_Whistler-Nesters-Spruce.Grove.Park.711750_TMYx.2009-2023.zip</v>
      </c>
    </row>
    <row r="639" spans="1:10" x14ac:dyDescent="0.25">
      <c r="A639" t="s">
        <v>6</v>
      </c>
      <c r="B639" t="s">
        <v>55</v>
      </c>
      <c r="C639" t="s">
        <v>338</v>
      </c>
      <c r="D639">
        <v>711750</v>
      </c>
      <c r="E639" t="s">
        <v>10</v>
      </c>
      <c r="F639">
        <v>45.920999999999999</v>
      </c>
      <c r="G639">
        <v>-60.646999999999998</v>
      </c>
      <c r="H639">
        <v>-8</v>
      </c>
      <c r="I639">
        <v>658</v>
      </c>
      <c r="J639" t="str">
        <f>HYPERLINK("https://climate.onebuilding.org/WMO_Region_4_North_and_Central_America/CAN_Canada/BC_British_Columbia/CAN_BC_Whistler-Nesters-Spruce.Grove.Park.711750_TMYx.zip")</f>
        <v>https://climate.onebuilding.org/WMO_Region_4_North_and_Central_America/CAN_Canada/BC_British_Columbia/CAN_BC_Whistler-Nesters-Spruce.Grove.Park.711750_TMYx.zip</v>
      </c>
    </row>
    <row r="640" spans="1:10" x14ac:dyDescent="0.25">
      <c r="A640" t="s">
        <v>6</v>
      </c>
      <c r="B640" t="s">
        <v>11</v>
      </c>
      <c r="C640" t="s">
        <v>340</v>
      </c>
      <c r="D640">
        <v>711760</v>
      </c>
      <c r="E640" t="s">
        <v>341</v>
      </c>
      <c r="F640">
        <v>59.984999999999999</v>
      </c>
      <c r="G640">
        <v>-64.165000000000006</v>
      </c>
      <c r="H640">
        <v>-4</v>
      </c>
      <c r="I640">
        <v>551.1</v>
      </c>
      <c r="J640" t="str">
        <f>HYPERLINK("https://climate.onebuilding.org/WMO_Region_4_North_and_Central_America/CAN_Canada/NL_Newfoundland_and_Labrador/CAN_NL_Cape.Kakkiviak.711760_TMYx.2004-2018.zip")</f>
        <v>https://climate.onebuilding.org/WMO_Region_4_North_and_Central_America/CAN_Canada/NL_Newfoundland_and_Labrador/CAN_NL_Cape.Kakkiviak.711760_TMYx.2004-2018.zip</v>
      </c>
    </row>
    <row r="641" spans="1:10" x14ac:dyDescent="0.25">
      <c r="A641" t="s">
        <v>6</v>
      </c>
      <c r="B641" t="s">
        <v>11</v>
      </c>
      <c r="C641" t="s">
        <v>340</v>
      </c>
      <c r="D641">
        <v>711760</v>
      </c>
      <c r="E641" t="s">
        <v>10</v>
      </c>
      <c r="F641">
        <v>59.984999999999999</v>
      </c>
      <c r="G641">
        <v>-64.165000000000006</v>
      </c>
      <c r="H641">
        <v>-4</v>
      </c>
      <c r="I641">
        <v>551.1</v>
      </c>
      <c r="J641" t="str">
        <f>HYPERLINK("https://climate.onebuilding.org/WMO_Region_4_North_and_Central_America/CAN_Canada/NL_Newfoundland_and_Labrador/CAN_NL_Cape.Kakkiviak.711760_TMYx.2007-2021.zip")</f>
        <v>https://climate.onebuilding.org/WMO_Region_4_North_and_Central_America/CAN_Canada/NL_Newfoundland_and_Labrador/CAN_NL_Cape.Kakkiviak.711760_TMYx.2007-2021.zip</v>
      </c>
    </row>
    <row r="642" spans="1:10" x14ac:dyDescent="0.25">
      <c r="A642" t="s">
        <v>6</v>
      </c>
      <c r="B642" t="s">
        <v>11</v>
      </c>
      <c r="C642" t="s">
        <v>340</v>
      </c>
      <c r="D642">
        <v>711760</v>
      </c>
      <c r="E642" t="s">
        <v>10</v>
      </c>
      <c r="F642">
        <v>59.984999999999999</v>
      </c>
      <c r="G642">
        <v>-64.165000000000006</v>
      </c>
      <c r="H642">
        <v>-4</v>
      </c>
      <c r="I642">
        <v>551.1</v>
      </c>
      <c r="J642" t="str">
        <f>HYPERLINK("https://climate.onebuilding.org/WMO_Region_4_North_and_Central_America/CAN_Canada/NL_Newfoundland_and_Labrador/CAN_NL_Cape.Kakkiviak.711760_TMYx.2009-2023.zip")</f>
        <v>https://climate.onebuilding.org/WMO_Region_4_North_and_Central_America/CAN_Canada/NL_Newfoundland_and_Labrador/CAN_NL_Cape.Kakkiviak.711760_TMYx.2009-2023.zip</v>
      </c>
    </row>
    <row r="643" spans="1:10" x14ac:dyDescent="0.25">
      <c r="A643" t="s">
        <v>6</v>
      </c>
      <c r="B643" t="s">
        <v>11</v>
      </c>
      <c r="C643" t="s">
        <v>340</v>
      </c>
      <c r="D643">
        <v>711760</v>
      </c>
      <c r="E643" t="s">
        <v>10</v>
      </c>
      <c r="F643">
        <v>59.984999999999999</v>
      </c>
      <c r="G643">
        <v>-64.165000000000006</v>
      </c>
      <c r="H643">
        <v>-4</v>
      </c>
      <c r="I643">
        <v>551.1</v>
      </c>
      <c r="J643" t="str">
        <f>HYPERLINK("https://climate.onebuilding.org/WMO_Region_4_North_and_Central_America/CAN_Canada/NL_Newfoundland_and_Labrador/CAN_NL_Cape.Kakkiviak.711760_TMYx.zip")</f>
        <v>https://climate.onebuilding.org/WMO_Region_4_North_and_Central_America/CAN_Canada/NL_Newfoundland_and_Labrador/CAN_NL_Cape.Kakkiviak.711760_TMYx.zip</v>
      </c>
    </row>
    <row r="644" spans="1:10" x14ac:dyDescent="0.25">
      <c r="A644" t="s">
        <v>6</v>
      </c>
      <c r="B644" t="s">
        <v>11</v>
      </c>
      <c r="C644" t="s">
        <v>342</v>
      </c>
      <c r="D644">
        <v>711770</v>
      </c>
      <c r="E644" t="s">
        <v>343</v>
      </c>
      <c r="F644">
        <v>57.135800000000003</v>
      </c>
      <c r="G644">
        <v>-61.4756</v>
      </c>
      <c r="H644">
        <v>-4</v>
      </c>
      <c r="I644">
        <v>834.1</v>
      </c>
      <c r="J644" t="str">
        <f>HYPERLINK("https://climate.onebuilding.org/WMO_Region_4_North_and_Central_America/CAN_Canada/NL_Newfoundland_and_Labrador/CAN_NL_Cape.Kiglapait.711770_TMYx.2004-2018.zip")</f>
        <v>https://climate.onebuilding.org/WMO_Region_4_North_and_Central_America/CAN_Canada/NL_Newfoundland_and_Labrador/CAN_NL_Cape.Kiglapait.711770_TMYx.2004-2018.zip</v>
      </c>
    </row>
    <row r="645" spans="1:10" x14ac:dyDescent="0.25">
      <c r="A645" t="s">
        <v>6</v>
      </c>
      <c r="B645" t="s">
        <v>11</v>
      </c>
      <c r="C645" t="s">
        <v>342</v>
      </c>
      <c r="D645">
        <v>711770</v>
      </c>
      <c r="E645" t="s">
        <v>10</v>
      </c>
      <c r="F645">
        <v>57.135800000000003</v>
      </c>
      <c r="G645">
        <v>-61.4756</v>
      </c>
      <c r="H645">
        <v>-4</v>
      </c>
      <c r="I645">
        <v>834.1</v>
      </c>
      <c r="J645" t="str">
        <f>HYPERLINK("https://climate.onebuilding.org/WMO_Region_4_North_and_Central_America/CAN_Canada/NL_Newfoundland_and_Labrador/CAN_NL_Cape.Kiglapait.711770_TMYx.2007-2021.zip")</f>
        <v>https://climate.onebuilding.org/WMO_Region_4_North_and_Central_America/CAN_Canada/NL_Newfoundland_and_Labrador/CAN_NL_Cape.Kiglapait.711770_TMYx.2007-2021.zip</v>
      </c>
    </row>
    <row r="646" spans="1:10" x14ac:dyDescent="0.25">
      <c r="A646" t="s">
        <v>6</v>
      </c>
      <c r="B646" t="s">
        <v>11</v>
      </c>
      <c r="C646" t="s">
        <v>342</v>
      </c>
      <c r="D646">
        <v>711770</v>
      </c>
      <c r="E646" t="s">
        <v>10</v>
      </c>
      <c r="F646">
        <v>57.135800000000003</v>
      </c>
      <c r="G646">
        <v>-61.4756</v>
      </c>
      <c r="H646">
        <v>-4</v>
      </c>
      <c r="I646">
        <v>834.1</v>
      </c>
      <c r="J646" t="str">
        <f>HYPERLINK("https://climate.onebuilding.org/WMO_Region_4_North_and_Central_America/CAN_Canada/NL_Newfoundland_and_Labrador/CAN_NL_Cape.Kiglapait.711770_TMYx.2009-2023.zip")</f>
        <v>https://climate.onebuilding.org/WMO_Region_4_North_and_Central_America/CAN_Canada/NL_Newfoundland_and_Labrador/CAN_NL_Cape.Kiglapait.711770_TMYx.2009-2023.zip</v>
      </c>
    </row>
    <row r="647" spans="1:10" x14ac:dyDescent="0.25">
      <c r="A647" t="s">
        <v>6</v>
      </c>
      <c r="B647" t="s">
        <v>11</v>
      </c>
      <c r="C647" t="s">
        <v>342</v>
      </c>
      <c r="D647">
        <v>711770</v>
      </c>
      <c r="E647" t="s">
        <v>10</v>
      </c>
      <c r="F647">
        <v>57.135800000000003</v>
      </c>
      <c r="G647">
        <v>-61.4756</v>
      </c>
      <c r="H647">
        <v>-4</v>
      </c>
      <c r="I647">
        <v>834.1</v>
      </c>
      <c r="J647" t="str">
        <f>HYPERLINK("https://climate.onebuilding.org/WMO_Region_4_North_and_Central_America/CAN_Canada/NL_Newfoundland_and_Labrador/CAN_NL_Cape.Kiglapait.711770_TMYx.zip")</f>
        <v>https://climate.onebuilding.org/WMO_Region_4_North_and_Central_America/CAN_Canada/NL_Newfoundland_and_Labrador/CAN_NL_Cape.Kiglapait.711770_TMYx.zip</v>
      </c>
    </row>
    <row r="648" spans="1:10" x14ac:dyDescent="0.25">
      <c r="A648" t="s">
        <v>6</v>
      </c>
      <c r="B648" t="s">
        <v>11</v>
      </c>
      <c r="C648" t="s">
        <v>344</v>
      </c>
      <c r="D648">
        <v>711780</v>
      </c>
      <c r="E648" t="s">
        <v>345</v>
      </c>
      <c r="F648">
        <v>48.667200000000001</v>
      </c>
      <c r="G648">
        <v>-53.114199999999997</v>
      </c>
      <c r="H648">
        <v>-3.5</v>
      </c>
      <c r="I648">
        <v>29.6</v>
      </c>
      <c r="J648" t="str">
        <f>HYPERLINK("https://climate.onebuilding.org/WMO_Region_4_North_and_Central_America/CAN_Canada/NL_Newfoundland_and_Labrador/CAN_NL_Bonavista.711780_TMYx.2004-2018.zip")</f>
        <v>https://climate.onebuilding.org/WMO_Region_4_North_and_Central_America/CAN_Canada/NL_Newfoundland_and_Labrador/CAN_NL_Bonavista.711780_TMYx.2004-2018.zip</v>
      </c>
    </row>
    <row r="649" spans="1:10" x14ac:dyDescent="0.25">
      <c r="A649" t="s">
        <v>6</v>
      </c>
      <c r="B649" t="s">
        <v>11</v>
      </c>
      <c r="C649" t="s">
        <v>344</v>
      </c>
      <c r="D649">
        <v>711780</v>
      </c>
      <c r="E649" t="s">
        <v>10</v>
      </c>
      <c r="F649">
        <v>48.67</v>
      </c>
      <c r="G649">
        <v>-53.11</v>
      </c>
      <c r="H649">
        <v>-3.5</v>
      </c>
      <c r="I649">
        <v>29.6</v>
      </c>
      <c r="J649" t="str">
        <f>HYPERLINK("https://climate.onebuilding.org/WMO_Region_4_North_and_Central_America/CAN_Canada/NL_Newfoundland_and_Labrador/CAN_NL_Bonavista.711780_TMYx.2007-2021.zip")</f>
        <v>https://climate.onebuilding.org/WMO_Region_4_North_and_Central_America/CAN_Canada/NL_Newfoundland_and_Labrador/CAN_NL_Bonavista.711780_TMYx.2007-2021.zip</v>
      </c>
    </row>
    <row r="650" spans="1:10" x14ac:dyDescent="0.25">
      <c r="A650" t="s">
        <v>6</v>
      </c>
      <c r="B650" t="s">
        <v>11</v>
      </c>
      <c r="C650" t="s">
        <v>344</v>
      </c>
      <c r="D650">
        <v>711780</v>
      </c>
      <c r="E650" t="s">
        <v>10</v>
      </c>
      <c r="F650">
        <v>48.67</v>
      </c>
      <c r="G650">
        <v>-53.11</v>
      </c>
      <c r="H650">
        <v>-3.5</v>
      </c>
      <c r="I650">
        <v>29.6</v>
      </c>
      <c r="J650" t="str">
        <f>HYPERLINK("https://climate.onebuilding.org/WMO_Region_4_North_and_Central_America/CAN_Canada/NL_Newfoundland_and_Labrador/CAN_NL_Bonavista.711780_TMYx.2009-2023.zip")</f>
        <v>https://climate.onebuilding.org/WMO_Region_4_North_and_Central_America/CAN_Canada/NL_Newfoundland_and_Labrador/CAN_NL_Bonavista.711780_TMYx.2009-2023.zip</v>
      </c>
    </row>
    <row r="651" spans="1:10" x14ac:dyDescent="0.25">
      <c r="A651" t="s">
        <v>6</v>
      </c>
      <c r="B651" t="s">
        <v>11</v>
      </c>
      <c r="C651" t="s">
        <v>344</v>
      </c>
      <c r="D651">
        <v>711780</v>
      </c>
      <c r="E651" t="s">
        <v>10</v>
      </c>
      <c r="F651">
        <v>48.67</v>
      </c>
      <c r="G651">
        <v>-53.11</v>
      </c>
      <c r="H651">
        <v>-3.5</v>
      </c>
      <c r="I651">
        <v>29.6</v>
      </c>
      <c r="J651" t="str">
        <f>HYPERLINK("https://climate.onebuilding.org/WMO_Region_4_North_and_Central_America/CAN_Canada/NL_Newfoundland_and_Labrador/CAN_NL_Bonavista.711780_TMYx.zip")</f>
        <v>https://climate.onebuilding.org/WMO_Region_4_North_and_Central_America/CAN_Canada/NL_Newfoundland_and_Labrador/CAN_NL_Bonavista.711780_TMYx.zip</v>
      </c>
    </row>
    <row r="652" spans="1:10" x14ac:dyDescent="0.25">
      <c r="A652" t="s">
        <v>6</v>
      </c>
      <c r="B652" t="s">
        <v>11</v>
      </c>
      <c r="C652" t="s">
        <v>346</v>
      </c>
      <c r="D652">
        <v>711790</v>
      </c>
      <c r="E652" t="s">
        <v>347</v>
      </c>
      <c r="F652">
        <v>54.715800000000002</v>
      </c>
      <c r="G652">
        <v>-58.357799999999997</v>
      </c>
      <c r="H652">
        <v>-4</v>
      </c>
      <c r="I652">
        <v>682.6</v>
      </c>
      <c r="J652" t="str">
        <f>HYPERLINK("https://climate.onebuilding.org/WMO_Region_4_North_and_Central_America/CAN_Canada/NL_Newfoundland_and_Labrador/CAN_NL_Tukialik.Bay.711790_TMYx.2004-2018.zip")</f>
        <v>https://climate.onebuilding.org/WMO_Region_4_North_and_Central_America/CAN_Canada/NL_Newfoundland_and_Labrador/CAN_NL_Tukialik.Bay.711790_TMYx.2004-2018.zip</v>
      </c>
    </row>
    <row r="653" spans="1:10" x14ac:dyDescent="0.25">
      <c r="A653" t="s">
        <v>6</v>
      </c>
      <c r="B653" t="s">
        <v>11</v>
      </c>
      <c r="C653" t="s">
        <v>346</v>
      </c>
      <c r="D653">
        <v>711790</v>
      </c>
      <c r="E653" t="s">
        <v>10</v>
      </c>
      <c r="F653">
        <v>54.715800000000002</v>
      </c>
      <c r="G653">
        <v>-58.357799999999997</v>
      </c>
      <c r="H653">
        <v>-4</v>
      </c>
      <c r="I653">
        <v>682.6</v>
      </c>
      <c r="J653" t="str">
        <f>HYPERLINK("https://climate.onebuilding.org/WMO_Region_4_North_and_Central_America/CAN_Canada/NL_Newfoundland_and_Labrador/CAN_NL_Tukialik.Bay.711790_TMYx.2007-2021.zip")</f>
        <v>https://climate.onebuilding.org/WMO_Region_4_North_and_Central_America/CAN_Canada/NL_Newfoundland_and_Labrador/CAN_NL_Tukialik.Bay.711790_TMYx.2007-2021.zip</v>
      </c>
    </row>
    <row r="654" spans="1:10" x14ac:dyDescent="0.25">
      <c r="A654" t="s">
        <v>6</v>
      </c>
      <c r="B654" t="s">
        <v>11</v>
      </c>
      <c r="C654" t="s">
        <v>346</v>
      </c>
      <c r="D654">
        <v>711790</v>
      </c>
      <c r="E654" t="s">
        <v>10</v>
      </c>
      <c r="F654">
        <v>54.715800000000002</v>
      </c>
      <c r="G654">
        <v>-58.357799999999997</v>
      </c>
      <c r="H654">
        <v>-4</v>
      </c>
      <c r="I654">
        <v>682.6</v>
      </c>
      <c r="J654" t="str">
        <f>HYPERLINK("https://climate.onebuilding.org/WMO_Region_4_North_and_Central_America/CAN_Canada/NL_Newfoundland_and_Labrador/CAN_NL_Tukialik.Bay.711790_TMYx.2009-2023.zip")</f>
        <v>https://climate.onebuilding.org/WMO_Region_4_North_and_Central_America/CAN_Canada/NL_Newfoundland_and_Labrador/CAN_NL_Tukialik.Bay.711790_TMYx.2009-2023.zip</v>
      </c>
    </row>
    <row r="655" spans="1:10" x14ac:dyDescent="0.25">
      <c r="A655" t="s">
        <v>6</v>
      </c>
      <c r="B655" t="s">
        <v>11</v>
      </c>
      <c r="C655" t="s">
        <v>346</v>
      </c>
      <c r="D655">
        <v>711790</v>
      </c>
      <c r="E655" t="s">
        <v>10</v>
      </c>
      <c r="F655">
        <v>54.715800000000002</v>
      </c>
      <c r="G655">
        <v>-58.357799999999997</v>
      </c>
      <c r="H655">
        <v>-4</v>
      </c>
      <c r="I655">
        <v>682.6</v>
      </c>
      <c r="J655" t="str">
        <f>HYPERLINK("https://climate.onebuilding.org/WMO_Region_4_North_and_Central_America/CAN_Canada/NL_Newfoundland_and_Labrador/CAN_NL_Tukialik.Bay.711790_TMYx.zip")</f>
        <v>https://climate.onebuilding.org/WMO_Region_4_North_and_Central_America/CAN_Canada/NL_Newfoundland_and_Labrador/CAN_NL_Tukialik.Bay.711790_TMYx.zip</v>
      </c>
    </row>
    <row r="656" spans="1:10" x14ac:dyDescent="0.25">
      <c r="A656" t="s">
        <v>6</v>
      </c>
      <c r="B656" t="s">
        <v>11</v>
      </c>
      <c r="C656" t="s">
        <v>348</v>
      </c>
      <c r="D656">
        <v>711800</v>
      </c>
      <c r="E656" t="s">
        <v>349</v>
      </c>
      <c r="F656">
        <v>47.7</v>
      </c>
      <c r="G656">
        <v>-59.3</v>
      </c>
      <c r="H656">
        <v>-3.5</v>
      </c>
      <c r="I656">
        <v>32</v>
      </c>
      <c r="J656" t="str">
        <f>HYPERLINK("https://climate.onebuilding.org/WMO_Region_4_North_and_Central_America/CAN_Canada/NL_Newfoundland_and_Labrador/CAN_NL_Wreckhouse.711800_TMYx.2004-2018.zip")</f>
        <v>https://climate.onebuilding.org/WMO_Region_4_North_and_Central_America/CAN_Canada/NL_Newfoundland_and_Labrador/CAN_NL_Wreckhouse.711800_TMYx.2004-2018.zip</v>
      </c>
    </row>
    <row r="657" spans="1:10" x14ac:dyDescent="0.25">
      <c r="A657" t="s">
        <v>6</v>
      </c>
      <c r="B657" t="s">
        <v>11</v>
      </c>
      <c r="C657" t="s">
        <v>348</v>
      </c>
      <c r="D657">
        <v>711800</v>
      </c>
      <c r="E657" t="s">
        <v>10</v>
      </c>
      <c r="F657">
        <v>47.7</v>
      </c>
      <c r="G657">
        <v>-59.3</v>
      </c>
      <c r="H657">
        <v>-3.5</v>
      </c>
      <c r="I657">
        <v>32</v>
      </c>
      <c r="J657" t="str">
        <f>HYPERLINK("https://climate.onebuilding.org/WMO_Region_4_North_and_Central_America/CAN_Canada/NL_Newfoundland_and_Labrador/CAN_NL_Wreckhouse.711800_TMYx.2007-2021.zip")</f>
        <v>https://climate.onebuilding.org/WMO_Region_4_North_and_Central_America/CAN_Canada/NL_Newfoundland_and_Labrador/CAN_NL_Wreckhouse.711800_TMYx.2007-2021.zip</v>
      </c>
    </row>
    <row r="658" spans="1:10" x14ac:dyDescent="0.25">
      <c r="A658" t="s">
        <v>6</v>
      </c>
      <c r="B658" t="s">
        <v>11</v>
      </c>
      <c r="C658" t="s">
        <v>348</v>
      </c>
      <c r="D658">
        <v>711800</v>
      </c>
      <c r="E658" t="s">
        <v>10</v>
      </c>
      <c r="F658">
        <v>47.7</v>
      </c>
      <c r="G658">
        <v>-59.3</v>
      </c>
      <c r="H658">
        <v>-3.5</v>
      </c>
      <c r="I658">
        <v>32</v>
      </c>
      <c r="J658" t="str">
        <f>HYPERLINK("https://climate.onebuilding.org/WMO_Region_4_North_and_Central_America/CAN_Canada/NL_Newfoundland_and_Labrador/CAN_NL_Wreckhouse.711800_TMYx.2009-2023.zip")</f>
        <v>https://climate.onebuilding.org/WMO_Region_4_North_and_Central_America/CAN_Canada/NL_Newfoundland_and_Labrador/CAN_NL_Wreckhouse.711800_TMYx.2009-2023.zip</v>
      </c>
    </row>
    <row r="659" spans="1:10" x14ac:dyDescent="0.25">
      <c r="A659" t="s">
        <v>6</v>
      </c>
      <c r="B659" t="s">
        <v>11</v>
      </c>
      <c r="C659" t="s">
        <v>348</v>
      </c>
      <c r="D659">
        <v>711800</v>
      </c>
      <c r="E659" t="s">
        <v>10</v>
      </c>
      <c r="F659">
        <v>47.7</v>
      </c>
      <c r="G659">
        <v>-59.3</v>
      </c>
      <c r="H659">
        <v>-3.5</v>
      </c>
      <c r="I659">
        <v>32</v>
      </c>
      <c r="J659" t="str">
        <f>HYPERLINK("https://climate.onebuilding.org/WMO_Region_4_North_and_Central_America/CAN_Canada/NL_Newfoundland_and_Labrador/CAN_NL_Wreckhouse.711800_TMYx.zip")</f>
        <v>https://climate.onebuilding.org/WMO_Region_4_North_and_Central_America/CAN_Canada/NL_Newfoundland_and_Labrador/CAN_NL_Wreckhouse.711800_TMYx.zip</v>
      </c>
    </row>
    <row r="660" spans="1:10" x14ac:dyDescent="0.25">
      <c r="A660" t="s">
        <v>6</v>
      </c>
      <c r="B660" t="s">
        <v>11</v>
      </c>
      <c r="C660" t="s">
        <v>350</v>
      </c>
      <c r="D660">
        <v>711810</v>
      </c>
      <c r="E660" t="s">
        <v>351</v>
      </c>
      <c r="F660">
        <v>47.136400000000002</v>
      </c>
      <c r="G660">
        <v>-55.327500000000001</v>
      </c>
      <c r="H660">
        <v>-3.5</v>
      </c>
      <c r="I660">
        <v>29.3</v>
      </c>
      <c r="J660" t="str">
        <f>HYPERLINK("https://climate.onebuilding.org/WMO_Region_4_North_and_Central_America/CAN_Canada/NL_Newfoundland_and_Labrador/CAN_NL_Winterland.AP.711810_TMYx.2004-2018.zip")</f>
        <v>https://climate.onebuilding.org/WMO_Region_4_North_and_Central_America/CAN_Canada/NL_Newfoundland_and_Labrador/CAN_NL_Winterland.AP.711810_TMYx.2004-2018.zip</v>
      </c>
    </row>
    <row r="661" spans="1:10" x14ac:dyDescent="0.25">
      <c r="A661" t="s">
        <v>6</v>
      </c>
      <c r="B661" t="s">
        <v>11</v>
      </c>
      <c r="C661" t="s">
        <v>350</v>
      </c>
      <c r="D661">
        <v>711810</v>
      </c>
      <c r="E661" t="s">
        <v>10</v>
      </c>
      <c r="F661">
        <v>47.136400000000002</v>
      </c>
      <c r="G661">
        <v>-55.327500000000001</v>
      </c>
      <c r="H661">
        <v>-3.5</v>
      </c>
      <c r="I661">
        <v>29.3</v>
      </c>
      <c r="J661" t="str">
        <f>HYPERLINK("https://climate.onebuilding.org/WMO_Region_4_North_and_Central_America/CAN_Canada/NL_Newfoundland_and_Labrador/CAN_NL_Winterland.AP.711810_TMYx.2007-2021.zip")</f>
        <v>https://climate.onebuilding.org/WMO_Region_4_North_and_Central_America/CAN_Canada/NL_Newfoundland_and_Labrador/CAN_NL_Winterland.AP.711810_TMYx.2007-2021.zip</v>
      </c>
    </row>
    <row r="662" spans="1:10" x14ac:dyDescent="0.25">
      <c r="A662" t="s">
        <v>6</v>
      </c>
      <c r="B662" t="s">
        <v>11</v>
      </c>
      <c r="C662" t="s">
        <v>350</v>
      </c>
      <c r="D662">
        <v>711810</v>
      </c>
      <c r="E662" t="s">
        <v>10</v>
      </c>
      <c r="F662">
        <v>47.136400000000002</v>
      </c>
      <c r="G662">
        <v>-55.327500000000001</v>
      </c>
      <c r="H662">
        <v>-3.5</v>
      </c>
      <c r="I662">
        <v>29.3</v>
      </c>
      <c r="J662" t="str">
        <f>HYPERLINK("https://climate.onebuilding.org/WMO_Region_4_North_and_Central_America/CAN_Canada/NL_Newfoundland_and_Labrador/CAN_NL_Winterland.AP.711810_TMYx.2009-2023.zip")</f>
        <v>https://climate.onebuilding.org/WMO_Region_4_North_and_Central_America/CAN_Canada/NL_Newfoundland_and_Labrador/CAN_NL_Winterland.AP.711810_TMYx.2009-2023.zip</v>
      </c>
    </row>
    <row r="663" spans="1:10" x14ac:dyDescent="0.25">
      <c r="A663" t="s">
        <v>6</v>
      </c>
      <c r="B663" t="s">
        <v>11</v>
      </c>
      <c r="C663" t="s">
        <v>350</v>
      </c>
      <c r="D663">
        <v>711810</v>
      </c>
      <c r="E663" t="s">
        <v>10</v>
      </c>
      <c r="F663">
        <v>47.136400000000002</v>
      </c>
      <c r="G663">
        <v>-55.327500000000001</v>
      </c>
      <c r="H663">
        <v>-3.5</v>
      </c>
      <c r="I663">
        <v>29.3</v>
      </c>
      <c r="J663" t="str">
        <f>HYPERLINK("https://climate.onebuilding.org/WMO_Region_4_North_and_Central_America/CAN_Canada/NL_Newfoundland_and_Labrador/CAN_NL_Winterland.AP.711810_TMYx.zip")</f>
        <v>https://climate.onebuilding.org/WMO_Region_4_North_and_Central_America/CAN_Canada/NL_Newfoundland_and_Labrador/CAN_NL_Winterland.AP.711810_TMYx.zip</v>
      </c>
    </row>
    <row r="664" spans="1:10" x14ac:dyDescent="0.25">
      <c r="A664" t="s">
        <v>6</v>
      </c>
      <c r="B664" t="s">
        <v>14</v>
      </c>
      <c r="C664" t="s">
        <v>352</v>
      </c>
      <c r="D664">
        <v>711840</v>
      </c>
      <c r="E664" t="s">
        <v>353</v>
      </c>
      <c r="F664">
        <v>45.723100000000002</v>
      </c>
      <c r="G664">
        <v>-73.3767</v>
      </c>
      <c r="H664">
        <v>-5</v>
      </c>
      <c r="I664">
        <v>17.899999999999999</v>
      </c>
      <c r="J664" t="str">
        <f>HYPERLINK("https://climate.onebuilding.org/WMO_Region_4_North_and_Central_America/CAN_Canada/QC_Quebec/CAN_QC_Varennes.711840_TMYx.2004-2018.zip")</f>
        <v>https://climate.onebuilding.org/WMO_Region_4_North_and_Central_America/CAN_Canada/QC_Quebec/CAN_QC_Varennes.711840_TMYx.2004-2018.zip</v>
      </c>
    </row>
    <row r="665" spans="1:10" x14ac:dyDescent="0.25">
      <c r="A665" t="s">
        <v>6</v>
      </c>
      <c r="B665" t="s">
        <v>14</v>
      </c>
      <c r="C665" t="s">
        <v>352</v>
      </c>
      <c r="D665">
        <v>711840</v>
      </c>
      <c r="E665" t="s">
        <v>10</v>
      </c>
      <c r="F665">
        <v>45.723100000000002</v>
      </c>
      <c r="G665">
        <v>-73.3767</v>
      </c>
      <c r="H665">
        <v>-5</v>
      </c>
      <c r="I665">
        <v>17.899999999999999</v>
      </c>
      <c r="J665" t="str">
        <f>HYPERLINK("https://climate.onebuilding.org/WMO_Region_4_North_and_Central_America/CAN_Canada/QC_Quebec/CAN_QC_Varennes.711840_TMYx.2007-2021.zip")</f>
        <v>https://climate.onebuilding.org/WMO_Region_4_North_and_Central_America/CAN_Canada/QC_Quebec/CAN_QC_Varennes.711840_TMYx.2007-2021.zip</v>
      </c>
    </row>
    <row r="666" spans="1:10" x14ac:dyDescent="0.25">
      <c r="A666" t="s">
        <v>6</v>
      </c>
      <c r="B666" t="s">
        <v>14</v>
      </c>
      <c r="C666" t="s">
        <v>352</v>
      </c>
      <c r="D666">
        <v>711840</v>
      </c>
      <c r="E666" t="s">
        <v>10</v>
      </c>
      <c r="F666">
        <v>45.723100000000002</v>
      </c>
      <c r="G666">
        <v>-73.3767</v>
      </c>
      <c r="H666">
        <v>-5</v>
      </c>
      <c r="I666">
        <v>17.899999999999999</v>
      </c>
      <c r="J666" t="str">
        <f>HYPERLINK("https://climate.onebuilding.org/WMO_Region_4_North_and_Central_America/CAN_Canada/QC_Quebec/CAN_QC_Varennes.711840_TMYx.2009-2023.zip")</f>
        <v>https://climate.onebuilding.org/WMO_Region_4_North_and_Central_America/CAN_Canada/QC_Quebec/CAN_QC_Varennes.711840_TMYx.2009-2023.zip</v>
      </c>
    </row>
    <row r="667" spans="1:10" x14ac:dyDescent="0.25">
      <c r="A667" t="s">
        <v>6</v>
      </c>
      <c r="B667" t="s">
        <v>14</v>
      </c>
      <c r="C667" t="s">
        <v>352</v>
      </c>
      <c r="D667">
        <v>711840</v>
      </c>
      <c r="E667" t="s">
        <v>10</v>
      </c>
      <c r="F667">
        <v>45.723100000000002</v>
      </c>
      <c r="G667">
        <v>-73.3767</v>
      </c>
      <c r="H667">
        <v>-5</v>
      </c>
      <c r="I667">
        <v>17.899999999999999</v>
      </c>
      <c r="J667" t="str">
        <f>HYPERLINK("https://climate.onebuilding.org/WMO_Region_4_North_and_Central_America/CAN_Canada/QC_Quebec/CAN_QC_Varennes.711840_TMYx.zip")</f>
        <v>https://climate.onebuilding.org/WMO_Region_4_North_and_Central_America/CAN_Canada/QC_Quebec/CAN_QC_Varennes.711840_TMYx.zip</v>
      </c>
    </row>
    <row r="668" spans="1:10" x14ac:dyDescent="0.25">
      <c r="A668" t="s">
        <v>6</v>
      </c>
      <c r="B668" t="s">
        <v>11</v>
      </c>
      <c r="C668" t="s">
        <v>354</v>
      </c>
      <c r="D668">
        <v>711850</v>
      </c>
      <c r="E668" t="s">
        <v>355</v>
      </c>
      <c r="F668">
        <v>50.236400000000003</v>
      </c>
      <c r="G668">
        <v>-57.581099999999999</v>
      </c>
      <c r="H668">
        <v>-3.5</v>
      </c>
      <c r="I668">
        <v>19</v>
      </c>
      <c r="J668" t="str">
        <f>HYPERLINK("https://climate.onebuilding.org/WMO_Region_4_North_and_Central_America/CAN_Canada/NL_Newfoundland_and_Labrador/CAN_NL_Daniels.Harbour.711850_TMYx.2004-2018.zip")</f>
        <v>https://climate.onebuilding.org/WMO_Region_4_North_and_Central_America/CAN_Canada/NL_Newfoundland_and_Labrador/CAN_NL_Daniels.Harbour.711850_TMYx.2004-2018.zip</v>
      </c>
    </row>
    <row r="669" spans="1:10" x14ac:dyDescent="0.25">
      <c r="A669" t="s">
        <v>6</v>
      </c>
      <c r="B669" t="s">
        <v>11</v>
      </c>
      <c r="C669" t="s">
        <v>354</v>
      </c>
      <c r="D669">
        <v>711850</v>
      </c>
      <c r="E669" t="s">
        <v>10</v>
      </c>
      <c r="F669">
        <v>50.236400000000003</v>
      </c>
      <c r="G669">
        <v>-57.581099999999999</v>
      </c>
      <c r="H669">
        <v>-3.5</v>
      </c>
      <c r="I669">
        <v>19</v>
      </c>
      <c r="J669" t="str">
        <f>HYPERLINK("https://climate.onebuilding.org/WMO_Region_4_North_and_Central_America/CAN_Canada/NL_Newfoundland_and_Labrador/CAN_NL_Daniels.Harbour.711850_TMYx.2007-2021.zip")</f>
        <v>https://climate.onebuilding.org/WMO_Region_4_North_and_Central_America/CAN_Canada/NL_Newfoundland_and_Labrador/CAN_NL_Daniels.Harbour.711850_TMYx.2007-2021.zip</v>
      </c>
    </row>
    <row r="670" spans="1:10" x14ac:dyDescent="0.25">
      <c r="A670" t="s">
        <v>6</v>
      </c>
      <c r="B670" t="s">
        <v>11</v>
      </c>
      <c r="C670" t="s">
        <v>354</v>
      </c>
      <c r="D670">
        <v>711850</v>
      </c>
      <c r="E670" t="s">
        <v>10</v>
      </c>
      <c r="F670">
        <v>50.236400000000003</v>
      </c>
      <c r="G670">
        <v>-57.581099999999999</v>
      </c>
      <c r="H670">
        <v>-3.5</v>
      </c>
      <c r="I670">
        <v>19</v>
      </c>
      <c r="J670" t="str">
        <f>HYPERLINK("https://climate.onebuilding.org/WMO_Region_4_North_and_Central_America/CAN_Canada/NL_Newfoundland_and_Labrador/CAN_NL_Daniels.Harbour.711850_TMYx.2009-2023.zip")</f>
        <v>https://climate.onebuilding.org/WMO_Region_4_North_and_Central_America/CAN_Canada/NL_Newfoundland_and_Labrador/CAN_NL_Daniels.Harbour.711850_TMYx.2009-2023.zip</v>
      </c>
    </row>
    <row r="671" spans="1:10" x14ac:dyDescent="0.25">
      <c r="A671" t="s">
        <v>6</v>
      </c>
      <c r="B671" t="s">
        <v>11</v>
      </c>
      <c r="C671" t="s">
        <v>354</v>
      </c>
      <c r="D671">
        <v>711850</v>
      </c>
      <c r="E671" t="s">
        <v>10</v>
      </c>
      <c r="F671">
        <v>50.236400000000003</v>
      </c>
      <c r="G671">
        <v>-57.581099999999999</v>
      </c>
      <c r="H671">
        <v>-3.5</v>
      </c>
      <c r="I671">
        <v>19</v>
      </c>
      <c r="J671" t="str">
        <f>HYPERLINK("https://climate.onebuilding.org/WMO_Region_4_North_and_Central_America/CAN_Canada/NL_Newfoundland_and_Labrador/CAN_NL_Daniels.Harbour.711850_TMYx.zip")</f>
        <v>https://climate.onebuilding.org/WMO_Region_4_North_and_Central_America/CAN_Canada/NL_Newfoundland_and_Labrador/CAN_NL_Daniels.Harbour.711850_TMYx.zip</v>
      </c>
    </row>
    <row r="672" spans="1:10" x14ac:dyDescent="0.25">
      <c r="A672" t="s">
        <v>6</v>
      </c>
      <c r="B672" t="s">
        <v>14</v>
      </c>
      <c r="C672" t="s">
        <v>356</v>
      </c>
      <c r="D672">
        <v>711860</v>
      </c>
      <c r="E672" t="s">
        <v>357</v>
      </c>
      <c r="F672">
        <v>48.374200000000002</v>
      </c>
      <c r="G672">
        <v>-70.535300000000007</v>
      </c>
      <c r="H672">
        <v>-5</v>
      </c>
      <c r="I672">
        <v>7.3</v>
      </c>
      <c r="J672" t="str">
        <f>HYPERLINK("https://climate.onebuilding.org/WMO_Region_4_North_and_Central_America/CAN_Canada/QC_Quebec/CAN_QC_Cap.Rouge.711860_TMYx.2004-2018.zip")</f>
        <v>https://climate.onebuilding.org/WMO_Region_4_North_and_Central_America/CAN_Canada/QC_Quebec/CAN_QC_Cap.Rouge.711860_TMYx.2004-2018.zip</v>
      </c>
    </row>
    <row r="673" spans="1:10" x14ac:dyDescent="0.25">
      <c r="A673" t="s">
        <v>6</v>
      </c>
      <c r="B673" t="s">
        <v>14</v>
      </c>
      <c r="C673" t="s">
        <v>356</v>
      </c>
      <c r="D673">
        <v>711860</v>
      </c>
      <c r="E673" t="s">
        <v>10</v>
      </c>
      <c r="F673">
        <v>48.374200000000002</v>
      </c>
      <c r="G673">
        <v>-70.535300000000007</v>
      </c>
      <c r="H673">
        <v>-5</v>
      </c>
      <c r="I673">
        <v>7.3</v>
      </c>
      <c r="J673" t="str">
        <f>HYPERLINK("https://climate.onebuilding.org/WMO_Region_4_North_and_Central_America/CAN_Canada/QC_Quebec/CAN_QC_Cap.Rouge.711860_TMYx.2007-2021.zip")</f>
        <v>https://climate.onebuilding.org/WMO_Region_4_North_and_Central_America/CAN_Canada/QC_Quebec/CAN_QC_Cap.Rouge.711860_TMYx.2007-2021.zip</v>
      </c>
    </row>
    <row r="674" spans="1:10" x14ac:dyDescent="0.25">
      <c r="A674" t="s">
        <v>6</v>
      </c>
      <c r="B674" t="s">
        <v>14</v>
      </c>
      <c r="C674" t="s">
        <v>356</v>
      </c>
      <c r="D674">
        <v>711860</v>
      </c>
      <c r="E674" t="s">
        <v>10</v>
      </c>
      <c r="F674">
        <v>48.374200000000002</v>
      </c>
      <c r="G674">
        <v>-70.535300000000007</v>
      </c>
      <c r="H674">
        <v>-5</v>
      </c>
      <c r="I674">
        <v>7.3</v>
      </c>
      <c r="J674" t="str">
        <f>HYPERLINK("https://climate.onebuilding.org/WMO_Region_4_North_and_Central_America/CAN_Canada/QC_Quebec/CAN_QC_Cap.Rouge.711860_TMYx.2009-2023.zip")</f>
        <v>https://climate.onebuilding.org/WMO_Region_4_North_and_Central_America/CAN_Canada/QC_Quebec/CAN_QC_Cap.Rouge.711860_TMYx.2009-2023.zip</v>
      </c>
    </row>
    <row r="675" spans="1:10" x14ac:dyDescent="0.25">
      <c r="A675" t="s">
        <v>6</v>
      </c>
      <c r="B675" t="s">
        <v>14</v>
      </c>
      <c r="C675" t="s">
        <v>356</v>
      </c>
      <c r="D675">
        <v>711860</v>
      </c>
      <c r="E675" t="s">
        <v>10</v>
      </c>
      <c r="F675">
        <v>48.374200000000002</v>
      </c>
      <c r="G675">
        <v>-70.535300000000007</v>
      </c>
      <c r="H675">
        <v>-5</v>
      </c>
      <c r="I675">
        <v>7.3</v>
      </c>
      <c r="J675" t="str">
        <f>HYPERLINK("https://climate.onebuilding.org/WMO_Region_4_North_and_Central_America/CAN_Canada/QC_Quebec/CAN_QC_Cap.Rouge.711860_TMYx.zip")</f>
        <v>https://climate.onebuilding.org/WMO_Region_4_North_and_Central_America/CAN_Canada/QC_Quebec/CAN_QC_Cap.Rouge.711860_TMYx.zip</v>
      </c>
    </row>
    <row r="676" spans="1:10" x14ac:dyDescent="0.25">
      <c r="A676" t="s">
        <v>6</v>
      </c>
      <c r="B676" t="s">
        <v>55</v>
      </c>
      <c r="C676" t="s">
        <v>358</v>
      </c>
      <c r="D676">
        <v>711870</v>
      </c>
      <c r="E676" t="s">
        <v>359</v>
      </c>
      <c r="F676">
        <v>49.368299999999998</v>
      </c>
      <c r="G676">
        <v>-121.49809999999999</v>
      </c>
      <c r="H676">
        <v>-8</v>
      </c>
      <c r="I676">
        <v>39</v>
      </c>
      <c r="J676" t="str">
        <f>HYPERLINK("https://climate.onebuilding.org/WMO_Region_4_North_and_Central_America/CAN_Canada/BC_British_Columbia/CAN_BC_Hope.Rgnl.AP.711870_TMYx.2004-2018.zip")</f>
        <v>https://climate.onebuilding.org/WMO_Region_4_North_and_Central_America/CAN_Canada/BC_British_Columbia/CAN_BC_Hope.Rgnl.AP.711870_TMYx.2004-2018.zip</v>
      </c>
    </row>
    <row r="677" spans="1:10" x14ac:dyDescent="0.25">
      <c r="A677" t="s">
        <v>6</v>
      </c>
      <c r="B677" t="s">
        <v>55</v>
      </c>
      <c r="C677" t="s">
        <v>358</v>
      </c>
      <c r="D677">
        <v>711870</v>
      </c>
      <c r="E677" t="s">
        <v>10</v>
      </c>
      <c r="F677">
        <v>49.369900000000001</v>
      </c>
      <c r="G677">
        <v>-121.4935</v>
      </c>
      <c r="H677">
        <v>-8</v>
      </c>
      <c r="I677">
        <v>39</v>
      </c>
      <c r="J677" t="str">
        <f>HYPERLINK("https://climate.onebuilding.org/WMO_Region_4_North_and_Central_America/CAN_Canada/BC_British_Columbia/CAN_BC_Hope.Rgnl.AP.711870_TMYx.2007-2021.zip")</f>
        <v>https://climate.onebuilding.org/WMO_Region_4_North_and_Central_America/CAN_Canada/BC_British_Columbia/CAN_BC_Hope.Rgnl.AP.711870_TMYx.2007-2021.zip</v>
      </c>
    </row>
    <row r="678" spans="1:10" x14ac:dyDescent="0.25">
      <c r="A678" t="s">
        <v>6</v>
      </c>
      <c r="B678" t="s">
        <v>55</v>
      </c>
      <c r="C678" t="s">
        <v>358</v>
      </c>
      <c r="D678">
        <v>711870</v>
      </c>
      <c r="E678" t="s">
        <v>10</v>
      </c>
      <c r="F678">
        <v>49.369900000000001</v>
      </c>
      <c r="G678">
        <v>-121.4935</v>
      </c>
      <c r="H678">
        <v>-8</v>
      </c>
      <c r="I678">
        <v>39</v>
      </c>
      <c r="J678" t="str">
        <f>HYPERLINK("https://climate.onebuilding.org/WMO_Region_4_North_and_Central_America/CAN_Canada/BC_British_Columbia/CAN_BC_Hope.Rgnl.AP.711870_TMYx.2009-2023.zip")</f>
        <v>https://climate.onebuilding.org/WMO_Region_4_North_and_Central_America/CAN_Canada/BC_British_Columbia/CAN_BC_Hope.Rgnl.AP.711870_TMYx.2009-2023.zip</v>
      </c>
    </row>
    <row r="679" spans="1:10" x14ac:dyDescent="0.25">
      <c r="A679" t="s">
        <v>6</v>
      </c>
      <c r="B679" t="s">
        <v>55</v>
      </c>
      <c r="C679" t="s">
        <v>358</v>
      </c>
      <c r="D679">
        <v>711870</v>
      </c>
      <c r="E679" t="s">
        <v>10</v>
      </c>
      <c r="F679">
        <v>49.369900000000001</v>
      </c>
      <c r="G679">
        <v>-121.4935</v>
      </c>
      <c r="H679">
        <v>-8</v>
      </c>
      <c r="I679">
        <v>39</v>
      </c>
      <c r="J679" t="str">
        <f>HYPERLINK("https://climate.onebuilding.org/WMO_Region_4_North_and_Central_America/CAN_Canada/BC_British_Columbia/CAN_BC_Hope.Rgnl.AP.711870_TMYx.zip")</f>
        <v>https://climate.onebuilding.org/WMO_Region_4_North_and_Central_America/CAN_Canada/BC_British_Columbia/CAN_BC_Hope.Rgnl.AP.711870_TMYx.zip</v>
      </c>
    </row>
    <row r="680" spans="1:10" x14ac:dyDescent="0.25">
      <c r="A680" t="s">
        <v>6</v>
      </c>
      <c r="B680" t="s">
        <v>14</v>
      </c>
      <c r="C680" t="s">
        <v>360</v>
      </c>
      <c r="D680">
        <v>711880</v>
      </c>
      <c r="E680" t="s">
        <v>361</v>
      </c>
      <c r="F680">
        <v>48.776899999999998</v>
      </c>
      <c r="G680">
        <v>-64.478099999999998</v>
      </c>
      <c r="H680">
        <v>-5</v>
      </c>
      <c r="I680">
        <v>34.1</v>
      </c>
      <c r="J680" t="str">
        <f>HYPERLINK("https://climate.onebuilding.org/WMO_Region_4_North_and_Central_America/CAN_Canada/QC_Quebec/CAN_QC_Gaspe.AP.711880_TMYx.2004-2018.zip")</f>
        <v>https://climate.onebuilding.org/WMO_Region_4_North_and_Central_America/CAN_Canada/QC_Quebec/CAN_QC_Gaspe.AP.711880_TMYx.2004-2018.zip</v>
      </c>
    </row>
    <row r="681" spans="1:10" x14ac:dyDescent="0.25">
      <c r="A681" t="s">
        <v>6</v>
      </c>
      <c r="B681" t="s">
        <v>14</v>
      </c>
      <c r="C681" t="s">
        <v>360</v>
      </c>
      <c r="D681">
        <v>711880</v>
      </c>
      <c r="E681" t="s">
        <v>10</v>
      </c>
      <c r="F681">
        <v>48.776899999999998</v>
      </c>
      <c r="G681">
        <v>-64.478099999999998</v>
      </c>
      <c r="H681">
        <v>-5</v>
      </c>
      <c r="I681">
        <v>34.1</v>
      </c>
      <c r="J681" t="str">
        <f>HYPERLINK("https://climate.onebuilding.org/WMO_Region_4_North_and_Central_America/CAN_Canada/QC_Quebec/CAN_QC_Gaspe.AP.711880_TMYx.2007-2021.zip")</f>
        <v>https://climate.onebuilding.org/WMO_Region_4_North_and_Central_America/CAN_Canada/QC_Quebec/CAN_QC_Gaspe.AP.711880_TMYx.2007-2021.zip</v>
      </c>
    </row>
    <row r="682" spans="1:10" x14ac:dyDescent="0.25">
      <c r="A682" t="s">
        <v>6</v>
      </c>
      <c r="B682" t="s">
        <v>14</v>
      </c>
      <c r="C682" t="s">
        <v>360</v>
      </c>
      <c r="D682">
        <v>711880</v>
      </c>
      <c r="E682" t="s">
        <v>10</v>
      </c>
      <c r="F682">
        <v>48.776899999999998</v>
      </c>
      <c r="G682">
        <v>-64.478099999999998</v>
      </c>
      <c r="H682">
        <v>-5</v>
      </c>
      <c r="I682">
        <v>34.1</v>
      </c>
      <c r="J682" t="str">
        <f>HYPERLINK("https://climate.onebuilding.org/WMO_Region_4_North_and_Central_America/CAN_Canada/QC_Quebec/CAN_QC_Gaspe.AP.711880_TMYx.2009-2023.zip")</f>
        <v>https://climate.onebuilding.org/WMO_Region_4_North_and_Central_America/CAN_Canada/QC_Quebec/CAN_QC_Gaspe.AP.711880_TMYx.2009-2023.zip</v>
      </c>
    </row>
    <row r="683" spans="1:10" x14ac:dyDescent="0.25">
      <c r="A683" t="s">
        <v>6</v>
      </c>
      <c r="B683" t="s">
        <v>14</v>
      </c>
      <c r="C683" t="s">
        <v>360</v>
      </c>
      <c r="D683">
        <v>711880</v>
      </c>
      <c r="E683" t="s">
        <v>10</v>
      </c>
      <c r="F683">
        <v>48.776899999999998</v>
      </c>
      <c r="G683">
        <v>-64.478099999999998</v>
      </c>
      <c r="H683">
        <v>-5</v>
      </c>
      <c r="I683">
        <v>34.1</v>
      </c>
      <c r="J683" t="str">
        <f>HYPERLINK("https://climate.onebuilding.org/WMO_Region_4_North_and_Central_America/CAN_Canada/QC_Quebec/CAN_QC_Gaspe.AP.711880_TMYx.zip")</f>
        <v>https://climate.onebuilding.org/WMO_Region_4_North_and_Central_America/CAN_Canada/QC_Quebec/CAN_QC_Gaspe.AP.711880_TMYx.zip</v>
      </c>
    </row>
    <row r="684" spans="1:10" x14ac:dyDescent="0.25">
      <c r="A684" t="s">
        <v>6</v>
      </c>
      <c r="B684" t="s">
        <v>14</v>
      </c>
      <c r="C684" t="s">
        <v>362</v>
      </c>
      <c r="D684">
        <v>711890</v>
      </c>
      <c r="E684" t="s">
        <v>363</v>
      </c>
      <c r="F684">
        <v>48.260300000000001</v>
      </c>
      <c r="G684">
        <v>-70.114400000000003</v>
      </c>
      <c r="H684">
        <v>-5</v>
      </c>
      <c r="I684">
        <v>4</v>
      </c>
      <c r="J684" t="str">
        <f>HYPERLINK("https://climate.onebuilding.org/WMO_Region_4_North_and_Central_America/CAN_Canada/QC_Quebec/CAN_QC_Pointe.Claveau.711890_TMYx.2004-2018.zip")</f>
        <v>https://climate.onebuilding.org/WMO_Region_4_North_and_Central_America/CAN_Canada/QC_Quebec/CAN_QC_Pointe.Claveau.711890_TMYx.2004-2018.zip</v>
      </c>
    </row>
    <row r="685" spans="1:10" x14ac:dyDescent="0.25">
      <c r="A685" t="s">
        <v>6</v>
      </c>
      <c r="B685" t="s">
        <v>14</v>
      </c>
      <c r="C685" t="s">
        <v>362</v>
      </c>
      <c r="D685">
        <v>711890</v>
      </c>
      <c r="E685" t="s">
        <v>10</v>
      </c>
      <c r="F685">
        <v>48.260300000000001</v>
      </c>
      <c r="G685">
        <v>-70.114400000000003</v>
      </c>
      <c r="H685">
        <v>-5</v>
      </c>
      <c r="I685">
        <v>4</v>
      </c>
      <c r="J685" t="str">
        <f>HYPERLINK("https://climate.onebuilding.org/WMO_Region_4_North_and_Central_America/CAN_Canada/QC_Quebec/CAN_QC_Pointe.Claveau.711890_TMYx.2007-2021.zip")</f>
        <v>https://climate.onebuilding.org/WMO_Region_4_North_and_Central_America/CAN_Canada/QC_Quebec/CAN_QC_Pointe.Claveau.711890_TMYx.2007-2021.zip</v>
      </c>
    </row>
    <row r="686" spans="1:10" x14ac:dyDescent="0.25">
      <c r="A686" t="s">
        <v>6</v>
      </c>
      <c r="B686" t="s">
        <v>14</v>
      </c>
      <c r="C686" t="s">
        <v>362</v>
      </c>
      <c r="D686">
        <v>711890</v>
      </c>
      <c r="E686" t="s">
        <v>10</v>
      </c>
      <c r="F686">
        <v>48.260300000000001</v>
      </c>
      <c r="G686">
        <v>-70.114400000000003</v>
      </c>
      <c r="H686">
        <v>-5</v>
      </c>
      <c r="I686">
        <v>4</v>
      </c>
      <c r="J686" t="str">
        <f>HYPERLINK("https://climate.onebuilding.org/WMO_Region_4_North_and_Central_America/CAN_Canada/QC_Quebec/CAN_QC_Pointe.Claveau.711890_TMYx.2009-2023.zip")</f>
        <v>https://climate.onebuilding.org/WMO_Region_4_North_and_Central_America/CAN_Canada/QC_Quebec/CAN_QC_Pointe.Claveau.711890_TMYx.2009-2023.zip</v>
      </c>
    </row>
    <row r="687" spans="1:10" x14ac:dyDescent="0.25">
      <c r="A687" t="s">
        <v>6</v>
      </c>
      <c r="B687" t="s">
        <v>14</v>
      </c>
      <c r="C687" t="s">
        <v>362</v>
      </c>
      <c r="D687">
        <v>711890</v>
      </c>
      <c r="E687" t="s">
        <v>10</v>
      </c>
      <c r="F687">
        <v>48.260300000000001</v>
      </c>
      <c r="G687">
        <v>-70.114400000000003</v>
      </c>
      <c r="H687">
        <v>-5</v>
      </c>
      <c r="I687">
        <v>4</v>
      </c>
      <c r="J687" t="str">
        <f>HYPERLINK("https://climate.onebuilding.org/WMO_Region_4_North_and_Central_America/CAN_Canada/QC_Quebec/CAN_QC_Pointe.Claveau.711890_TMYx.zip")</f>
        <v>https://climate.onebuilding.org/WMO_Region_4_North_and_Central_America/CAN_Canada/QC_Quebec/CAN_QC_Pointe.Claveau.711890_TMYx.zip</v>
      </c>
    </row>
    <row r="688" spans="1:10" x14ac:dyDescent="0.25">
      <c r="A688" t="s">
        <v>6</v>
      </c>
      <c r="B688" t="s">
        <v>14</v>
      </c>
      <c r="C688" t="s">
        <v>364</v>
      </c>
      <c r="D688">
        <v>711900</v>
      </c>
      <c r="E688" t="s">
        <v>365</v>
      </c>
      <c r="F688">
        <v>48.135599999999997</v>
      </c>
      <c r="G688">
        <v>-69.716399999999993</v>
      </c>
      <c r="H688">
        <v>-5</v>
      </c>
      <c r="I688">
        <v>7</v>
      </c>
      <c r="J688" t="str">
        <f>HYPERLINK("https://climate.onebuilding.org/WMO_Region_4_North_and_Central_America/CAN_Canada/QC_Quebec/CAN_QC_Pointe.de.l-Islet.711900_TMYx.2004-2018.zip")</f>
        <v>https://climate.onebuilding.org/WMO_Region_4_North_and_Central_America/CAN_Canada/QC_Quebec/CAN_QC_Pointe.de.l-Islet.711900_TMYx.2004-2018.zip</v>
      </c>
    </row>
    <row r="689" spans="1:10" x14ac:dyDescent="0.25">
      <c r="A689" t="s">
        <v>6</v>
      </c>
      <c r="B689" t="s">
        <v>14</v>
      </c>
      <c r="C689" t="s">
        <v>364</v>
      </c>
      <c r="D689">
        <v>711900</v>
      </c>
      <c r="E689" t="s">
        <v>10</v>
      </c>
      <c r="F689">
        <v>48.135599999999997</v>
      </c>
      <c r="G689">
        <v>-69.716399999999993</v>
      </c>
      <c r="H689">
        <v>-5</v>
      </c>
      <c r="I689">
        <v>7</v>
      </c>
      <c r="J689" t="str">
        <f>HYPERLINK("https://climate.onebuilding.org/WMO_Region_4_North_and_Central_America/CAN_Canada/QC_Quebec/CAN_QC_Pointe.de.l-Islet.711900_TMYx.2007-2021.zip")</f>
        <v>https://climate.onebuilding.org/WMO_Region_4_North_and_Central_America/CAN_Canada/QC_Quebec/CAN_QC_Pointe.de.l-Islet.711900_TMYx.2007-2021.zip</v>
      </c>
    </row>
    <row r="690" spans="1:10" x14ac:dyDescent="0.25">
      <c r="A690" t="s">
        <v>6</v>
      </c>
      <c r="B690" t="s">
        <v>14</v>
      </c>
      <c r="C690" t="s">
        <v>364</v>
      </c>
      <c r="D690">
        <v>711900</v>
      </c>
      <c r="E690" t="s">
        <v>10</v>
      </c>
      <c r="F690">
        <v>48.135599999999997</v>
      </c>
      <c r="G690">
        <v>-69.716399999999993</v>
      </c>
      <c r="H690">
        <v>-5</v>
      </c>
      <c r="I690">
        <v>7</v>
      </c>
      <c r="J690" t="str">
        <f>HYPERLINK("https://climate.onebuilding.org/WMO_Region_4_North_and_Central_America/CAN_Canada/QC_Quebec/CAN_QC_Pointe.de.l-Islet.711900_TMYx.2009-2023.zip")</f>
        <v>https://climate.onebuilding.org/WMO_Region_4_North_and_Central_America/CAN_Canada/QC_Quebec/CAN_QC_Pointe.de.l-Islet.711900_TMYx.2009-2023.zip</v>
      </c>
    </row>
    <row r="691" spans="1:10" x14ac:dyDescent="0.25">
      <c r="A691" t="s">
        <v>6</v>
      </c>
      <c r="B691" t="s">
        <v>14</v>
      </c>
      <c r="C691" t="s">
        <v>364</v>
      </c>
      <c r="D691">
        <v>711900</v>
      </c>
      <c r="E691" t="s">
        <v>10</v>
      </c>
      <c r="F691">
        <v>48.135599999999997</v>
      </c>
      <c r="G691">
        <v>-69.716399999999993</v>
      </c>
      <c r="H691">
        <v>-5</v>
      </c>
      <c r="I691">
        <v>7</v>
      </c>
      <c r="J691" t="str">
        <f>HYPERLINK("https://climate.onebuilding.org/WMO_Region_4_North_and_Central_America/CAN_Canada/QC_Quebec/CAN_QC_Pointe.de.l-Islet.711900_TMYx.zip")</f>
        <v>https://climate.onebuilding.org/WMO_Region_4_North_and_Central_America/CAN_Canada/QC_Quebec/CAN_QC_Pointe.de.l-Islet.711900_TMYx.zip</v>
      </c>
    </row>
    <row r="692" spans="1:10" x14ac:dyDescent="0.25">
      <c r="A692" t="s">
        <v>6</v>
      </c>
      <c r="B692" t="s">
        <v>45</v>
      </c>
      <c r="C692" t="s">
        <v>366</v>
      </c>
      <c r="D692">
        <v>711910</v>
      </c>
      <c r="E692" t="s">
        <v>367</v>
      </c>
      <c r="F692">
        <v>45.59722</v>
      </c>
      <c r="G692">
        <v>-64.953050000000005</v>
      </c>
      <c r="H692">
        <v>-4</v>
      </c>
      <c r="I692">
        <v>42.7</v>
      </c>
      <c r="J692" t="str">
        <f>HYPERLINK("https://climate.onebuilding.org/WMO_Region_4_North_and_Central_America/CAN_Canada/NB_New_Brunswick/CAN_NB_Fundy.Natl.Park.CS.711910_TMYx.2004-2018.zip")</f>
        <v>https://climate.onebuilding.org/WMO_Region_4_North_and_Central_America/CAN_Canada/NB_New_Brunswick/CAN_NB_Fundy.Natl.Park.CS.711910_TMYx.2004-2018.zip</v>
      </c>
    </row>
    <row r="693" spans="1:10" x14ac:dyDescent="0.25">
      <c r="A693" t="s">
        <v>6</v>
      </c>
      <c r="B693" t="s">
        <v>45</v>
      </c>
      <c r="C693" t="s">
        <v>366</v>
      </c>
      <c r="D693">
        <v>711910</v>
      </c>
      <c r="E693" t="s">
        <v>10</v>
      </c>
      <c r="F693">
        <v>45.59722</v>
      </c>
      <c r="G693">
        <v>-64.953050000000005</v>
      </c>
      <c r="H693">
        <v>-4</v>
      </c>
      <c r="I693">
        <v>42.7</v>
      </c>
      <c r="J693" t="str">
        <f>HYPERLINK("https://climate.onebuilding.org/WMO_Region_4_North_and_Central_America/CAN_Canada/NB_New_Brunswick/CAN_NB_Fundy.Natl.Park.CS.711910_TMYx.2007-2021.zip")</f>
        <v>https://climate.onebuilding.org/WMO_Region_4_North_and_Central_America/CAN_Canada/NB_New_Brunswick/CAN_NB_Fundy.Natl.Park.CS.711910_TMYx.2007-2021.zip</v>
      </c>
    </row>
    <row r="694" spans="1:10" x14ac:dyDescent="0.25">
      <c r="A694" t="s">
        <v>6</v>
      </c>
      <c r="B694" t="s">
        <v>45</v>
      </c>
      <c r="C694" t="s">
        <v>366</v>
      </c>
      <c r="D694">
        <v>711910</v>
      </c>
      <c r="E694" t="s">
        <v>10</v>
      </c>
      <c r="F694">
        <v>45.59722</v>
      </c>
      <c r="G694">
        <v>-64.953050000000005</v>
      </c>
      <c r="H694">
        <v>-4</v>
      </c>
      <c r="I694">
        <v>42.7</v>
      </c>
      <c r="J694" t="str">
        <f>HYPERLINK("https://climate.onebuilding.org/WMO_Region_4_North_and_Central_America/CAN_Canada/NB_New_Brunswick/CAN_NB_Fundy.Natl.Park.CS.711910_TMYx.2009-2023.zip")</f>
        <v>https://climate.onebuilding.org/WMO_Region_4_North_and_Central_America/CAN_Canada/NB_New_Brunswick/CAN_NB_Fundy.Natl.Park.CS.711910_TMYx.2009-2023.zip</v>
      </c>
    </row>
    <row r="695" spans="1:10" x14ac:dyDescent="0.25">
      <c r="A695" t="s">
        <v>6</v>
      </c>
      <c r="B695" t="s">
        <v>45</v>
      </c>
      <c r="C695" t="s">
        <v>366</v>
      </c>
      <c r="D695">
        <v>711910</v>
      </c>
      <c r="E695" t="s">
        <v>10</v>
      </c>
      <c r="F695">
        <v>45.59722</v>
      </c>
      <c r="G695">
        <v>-64.953050000000005</v>
      </c>
      <c r="H695">
        <v>-4</v>
      </c>
      <c r="I695">
        <v>42.7</v>
      </c>
      <c r="J695" t="str">
        <f>HYPERLINK("https://climate.onebuilding.org/WMO_Region_4_North_and_Central_America/CAN_Canada/NB_New_Brunswick/CAN_NB_Fundy.Natl.Park.CS.711910_TMYx.zip")</f>
        <v>https://climate.onebuilding.org/WMO_Region_4_North_and_Central_America/CAN_Canada/NB_New_Brunswick/CAN_NB_Fundy.Natl.Park.CS.711910_TMYx.zip</v>
      </c>
    </row>
    <row r="696" spans="1:10" x14ac:dyDescent="0.25">
      <c r="A696" t="s">
        <v>6</v>
      </c>
      <c r="B696" t="s">
        <v>55</v>
      </c>
      <c r="C696" t="s">
        <v>368</v>
      </c>
      <c r="D696">
        <v>711920</v>
      </c>
      <c r="E696" t="s">
        <v>369</v>
      </c>
      <c r="F696">
        <v>52.977600000000002</v>
      </c>
      <c r="G696">
        <v>-122.4898</v>
      </c>
      <c r="H696">
        <v>-8</v>
      </c>
      <c r="I696">
        <v>545</v>
      </c>
      <c r="J696" t="str">
        <f>HYPERLINK("https://climate.onebuilding.org/WMO_Region_4_North_and_Central_America/CAN_Canada/BC_British_Columbia/CAN_BC_Quesnel.711920_TMYx.2004-2018.zip")</f>
        <v>https://climate.onebuilding.org/WMO_Region_4_North_and_Central_America/CAN_Canada/BC_British_Columbia/CAN_BC_Quesnel.711920_TMYx.2004-2018.zip</v>
      </c>
    </row>
    <row r="697" spans="1:10" x14ac:dyDescent="0.25">
      <c r="A697" t="s">
        <v>6</v>
      </c>
      <c r="B697" t="s">
        <v>55</v>
      </c>
      <c r="C697" t="s">
        <v>368</v>
      </c>
      <c r="D697">
        <v>711920</v>
      </c>
      <c r="E697" t="s">
        <v>10</v>
      </c>
      <c r="F697">
        <v>52.977600000000002</v>
      </c>
      <c r="G697">
        <v>-122.4898</v>
      </c>
      <c r="H697">
        <v>-8</v>
      </c>
      <c r="I697">
        <v>545</v>
      </c>
      <c r="J697" t="str">
        <f>HYPERLINK("https://climate.onebuilding.org/WMO_Region_4_North_and_Central_America/CAN_Canada/BC_British_Columbia/CAN_BC_Quesnel.711920_TMYx.2007-2021.zip")</f>
        <v>https://climate.onebuilding.org/WMO_Region_4_North_and_Central_America/CAN_Canada/BC_British_Columbia/CAN_BC_Quesnel.711920_TMYx.2007-2021.zip</v>
      </c>
    </row>
    <row r="698" spans="1:10" x14ac:dyDescent="0.25">
      <c r="A698" t="s">
        <v>6</v>
      </c>
      <c r="B698" t="s">
        <v>55</v>
      </c>
      <c r="C698" t="s">
        <v>368</v>
      </c>
      <c r="D698">
        <v>711920</v>
      </c>
      <c r="E698" t="s">
        <v>10</v>
      </c>
      <c r="F698">
        <v>52.977600000000002</v>
      </c>
      <c r="G698">
        <v>-122.4898</v>
      </c>
      <c r="H698">
        <v>-8</v>
      </c>
      <c r="I698">
        <v>545</v>
      </c>
      <c r="J698" t="str">
        <f>HYPERLINK("https://climate.onebuilding.org/WMO_Region_4_North_and_Central_America/CAN_Canada/BC_British_Columbia/CAN_BC_Quesnel.711920_TMYx.2009-2023.zip")</f>
        <v>https://climate.onebuilding.org/WMO_Region_4_North_and_Central_America/CAN_Canada/BC_British_Columbia/CAN_BC_Quesnel.711920_TMYx.2009-2023.zip</v>
      </c>
    </row>
    <row r="699" spans="1:10" x14ac:dyDescent="0.25">
      <c r="A699" t="s">
        <v>6</v>
      </c>
      <c r="B699" t="s">
        <v>55</v>
      </c>
      <c r="C699" t="s">
        <v>368</v>
      </c>
      <c r="D699">
        <v>711920</v>
      </c>
      <c r="E699" t="s">
        <v>10</v>
      </c>
      <c r="F699">
        <v>52.977600000000002</v>
      </c>
      <c r="G699">
        <v>-122.4898</v>
      </c>
      <c r="H699">
        <v>-8</v>
      </c>
      <c r="I699">
        <v>545</v>
      </c>
      <c r="J699" t="str">
        <f>HYPERLINK("https://climate.onebuilding.org/WMO_Region_4_North_and_Central_America/CAN_Canada/BC_British_Columbia/CAN_BC_Quesnel.711920_TMYx.zip")</f>
        <v>https://climate.onebuilding.org/WMO_Region_4_North_and_Central_America/CAN_Canada/BC_British_Columbia/CAN_BC_Quesnel.711920_TMYx.zip</v>
      </c>
    </row>
    <row r="700" spans="1:10" x14ac:dyDescent="0.25">
      <c r="A700" t="s">
        <v>6</v>
      </c>
      <c r="B700" t="s">
        <v>130</v>
      </c>
      <c r="C700" t="s">
        <v>370</v>
      </c>
      <c r="D700">
        <v>711930</v>
      </c>
      <c r="E700" t="s">
        <v>10</v>
      </c>
      <c r="F700">
        <v>48.557200000000002</v>
      </c>
      <c r="G700">
        <v>-81.390299999999996</v>
      </c>
      <c r="H700">
        <v>-5</v>
      </c>
      <c r="I700">
        <v>294.39999999999998</v>
      </c>
      <c r="J700" t="str">
        <f>HYPERLINK("https://climate.onebuilding.org/WMO_Region_4_North_and_Central_America/CAN_Canada/ON_Ontario/CAN_ON_Timmins.CS.711930_TMYx.2007-2021.zip")</f>
        <v>https://climate.onebuilding.org/WMO_Region_4_North_and_Central_America/CAN_Canada/ON_Ontario/CAN_ON_Timmins.CS.711930_TMYx.2007-2021.zip</v>
      </c>
    </row>
    <row r="701" spans="1:10" x14ac:dyDescent="0.25">
      <c r="A701" t="s">
        <v>6</v>
      </c>
      <c r="B701" t="s">
        <v>130</v>
      </c>
      <c r="C701" t="s">
        <v>370</v>
      </c>
      <c r="D701">
        <v>711930</v>
      </c>
      <c r="E701" t="s">
        <v>10</v>
      </c>
      <c r="F701">
        <v>48.557200000000002</v>
      </c>
      <c r="G701">
        <v>-81.390299999999996</v>
      </c>
      <c r="H701">
        <v>-5</v>
      </c>
      <c r="I701">
        <v>294.39999999999998</v>
      </c>
      <c r="J701" t="str">
        <f>HYPERLINK("https://climate.onebuilding.org/WMO_Region_4_North_and_Central_America/CAN_Canada/ON_Ontario/CAN_ON_Timmins.CS.711930_TMYx.2009-2023.zip")</f>
        <v>https://climate.onebuilding.org/WMO_Region_4_North_and_Central_America/CAN_Canada/ON_Ontario/CAN_ON_Timmins.CS.711930_TMYx.2009-2023.zip</v>
      </c>
    </row>
    <row r="702" spans="1:10" x14ac:dyDescent="0.25">
      <c r="A702" t="s">
        <v>6</v>
      </c>
      <c r="B702" t="s">
        <v>130</v>
      </c>
      <c r="C702" t="s">
        <v>370</v>
      </c>
      <c r="D702">
        <v>711930</v>
      </c>
      <c r="E702" t="s">
        <v>10</v>
      </c>
      <c r="F702">
        <v>48.557200000000002</v>
      </c>
      <c r="G702">
        <v>-81.390299999999996</v>
      </c>
      <c r="H702">
        <v>-5</v>
      </c>
      <c r="I702">
        <v>294.39999999999998</v>
      </c>
      <c r="J702" t="str">
        <f>HYPERLINK("https://climate.onebuilding.org/WMO_Region_4_North_and_Central_America/CAN_Canada/ON_Ontario/CAN_ON_Timmins.CS.711930_TMYx.zip")</f>
        <v>https://climate.onebuilding.org/WMO_Region_4_North_and_Central_America/CAN_Canada/ON_Ontario/CAN_ON_Timmins.CS.711930_TMYx.zip</v>
      </c>
    </row>
    <row r="703" spans="1:10" x14ac:dyDescent="0.25">
      <c r="A703" t="s">
        <v>6</v>
      </c>
      <c r="B703" t="s">
        <v>11</v>
      </c>
      <c r="C703" t="s">
        <v>371</v>
      </c>
      <c r="D703">
        <v>711950</v>
      </c>
      <c r="E703" t="s">
        <v>10</v>
      </c>
      <c r="F703">
        <v>47.866489999999999</v>
      </c>
      <c r="G703">
        <v>-55.847700000000003</v>
      </c>
      <c r="H703">
        <v>-3.5</v>
      </c>
      <c r="I703">
        <v>37</v>
      </c>
      <c r="J703" t="str">
        <f>HYPERLINK("https://climate.onebuilding.org/WMO_Region_4_North_and_Central_America/CAN_Canada/NL_Newfoundland_and_Labrador/CAN_NL_Saint.Albans.711950_TMYx.zip")</f>
        <v>https://climate.onebuilding.org/WMO_Region_4_North_and_Central_America/CAN_Canada/NL_Newfoundland_and_Labrador/CAN_NL_Saint.Albans.711950_TMYx.zip</v>
      </c>
    </row>
    <row r="704" spans="1:10" x14ac:dyDescent="0.25">
      <c r="A704" t="s">
        <v>6</v>
      </c>
      <c r="B704" t="s">
        <v>130</v>
      </c>
      <c r="C704" t="s">
        <v>372</v>
      </c>
      <c r="D704">
        <v>711960</v>
      </c>
      <c r="E704" t="s">
        <v>373</v>
      </c>
      <c r="F704">
        <v>45.860300000000002</v>
      </c>
      <c r="G704">
        <v>-77.252200000000002</v>
      </c>
      <c r="H704">
        <v>-5</v>
      </c>
      <c r="I704">
        <v>162</v>
      </c>
      <c r="J704" t="str">
        <f>HYPERLINK("https://climate.onebuilding.org/WMO_Region_4_North_and_Central_America/CAN_Canada/ON_Ontario/CAN_ON_Pembroke.AP.711960_TMYx.2004-2018.zip")</f>
        <v>https://climate.onebuilding.org/WMO_Region_4_North_and_Central_America/CAN_Canada/ON_Ontario/CAN_ON_Pembroke.AP.711960_TMYx.2004-2018.zip</v>
      </c>
    </row>
    <row r="705" spans="1:10" x14ac:dyDescent="0.25">
      <c r="A705" t="s">
        <v>6</v>
      </c>
      <c r="B705" t="s">
        <v>130</v>
      </c>
      <c r="C705" t="s">
        <v>372</v>
      </c>
      <c r="D705">
        <v>711960</v>
      </c>
      <c r="E705" t="s">
        <v>10</v>
      </c>
      <c r="F705">
        <v>45.860300000000002</v>
      </c>
      <c r="G705">
        <v>-77.252200000000002</v>
      </c>
      <c r="H705">
        <v>-5</v>
      </c>
      <c r="I705">
        <v>162</v>
      </c>
      <c r="J705" t="str">
        <f>HYPERLINK("https://climate.onebuilding.org/WMO_Region_4_North_and_Central_America/CAN_Canada/ON_Ontario/CAN_ON_Pembroke.AP.711960_TMYx.2007-2021.zip")</f>
        <v>https://climate.onebuilding.org/WMO_Region_4_North_and_Central_America/CAN_Canada/ON_Ontario/CAN_ON_Pembroke.AP.711960_TMYx.2007-2021.zip</v>
      </c>
    </row>
    <row r="706" spans="1:10" x14ac:dyDescent="0.25">
      <c r="A706" t="s">
        <v>6</v>
      </c>
      <c r="B706" t="s">
        <v>130</v>
      </c>
      <c r="C706" t="s">
        <v>372</v>
      </c>
      <c r="D706">
        <v>711960</v>
      </c>
      <c r="E706" t="s">
        <v>10</v>
      </c>
      <c r="F706">
        <v>45.860300000000002</v>
      </c>
      <c r="G706">
        <v>-77.252200000000002</v>
      </c>
      <c r="H706">
        <v>-5</v>
      </c>
      <c r="I706">
        <v>162</v>
      </c>
      <c r="J706" t="str">
        <f>HYPERLINK("https://climate.onebuilding.org/WMO_Region_4_North_and_Central_America/CAN_Canada/ON_Ontario/CAN_ON_Pembroke.AP.711960_TMYx.2009-2023.zip")</f>
        <v>https://climate.onebuilding.org/WMO_Region_4_North_and_Central_America/CAN_Canada/ON_Ontario/CAN_ON_Pembroke.AP.711960_TMYx.2009-2023.zip</v>
      </c>
    </row>
    <row r="707" spans="1:10" x14ac:dyDescent="0.25">
      <c r="A707" t="s">
        <v>6</v>
      </c>
      <c r="B707" t="s">
        <v>130</v>
      </c>
      <c r="C707" t="s">
        <v>372</v>
      </c>
      <c r="D707">
        <v>711960</v>
      </c>
      <c r="E707" t="s">
        <v>10</v>
      </c>
      <c r="F707">
        <v>45.860300000000002</v>
      </c>
      <c r="G707">
        <v>-77.252200000000002</v>
      </c>
      <c r="H707">
        <v>-5</v>
      </c>
      <c r="I707">
        <v>162</v>
      </c>
      <c r="J707" t="str">
        <f>HYPERLINK("https://climate.onebuilding.org/WMO_Region_4_North_and_Central_America/CAN_Canada/ON_Ontario/CAN_ON_Pembroke.AP.711960_TMYx.zip")</f>
        <v>https://climate.onebuilding.org/WMO_Region_4_North_and_Central_America/CAN_Canada/ON_Ontario/CAN_ON_Pembroke.AP.711960_TMYx.zip</v>
      </c>
    </row>
    <row r="708" spans="1:10" x14ac:dyDescent="0.25">
      <c r="A708" t="s">
        <v>6</v>
      </c>
      <c r="B708" t="s">
        <v>11</v>
      </c>
      <c r="C708" t="s">
        <v>374</v>
      </c>
      <c r="D708">
        <v>711970</v>
      </c>
      <c r="E708" t="s">
        <v>375</v>
      </c>
      <c r="F708">
        <v>47.573900000000002</v>
      </c>
      <c r="G708">
        <v>-59.154699999999998</v>
      </c>
      <c r="H708">
        <v>-3.5</v>
      </c>
      <c r="I708">
        <v>39.700000000000003</v>
      </c>
      <c r="J708" t="str">
        <f>HYPERLINK("https://climate.onebuilding.org/WMO_Region_4_North_and_Central_America/CAN_Canada/NL_Newfoundland_and_Labrador/CAN_NL_Channel-Port.aux.Basques.711970_TMYx.2004-2018.zip")</f>
        <v>https://climate.onebuilding.org/WMO_Region_4_North_and_Central_America/CAN_Canada/NL_Newfoundland_and_Labrador/CAN_NL_Channel-Port.aux.Basques.711970_TMYx.2004-2018.zip</v>
      </c>
    </row>
    <row r="709" spans="1:10" x14ac:dyDescent="0.25">
      <c r="A709" t="s">
        <v>6</v>
      </c>
      <c r="B709" t="s">
        <v>11</v>
      </c>
      <c r="C709" t="s">
        <v>374</v>
      </c>
      <c r="D709">
        <v>711970</v>
      </c>
      <c r="E709" t="s">
        <v>10</v>
      </c>
      <c r="F709">
        <v>47.573399999999999</v>
      </c>
      <c r="G709">
        <v>-59.153100000000002</v>
      </c>
      <c r="H709">
        <v>-3.5</v>
      </c>
      <c r="I709">
        <v>39.700000000000003</v>
      </c>
      <c r="J709" t="str">
        <f>HYPERLINK("https://climate.onebuilding.org/WMO_Region_4_North_and_Central_America/CAN_Canada/NL_Newfoundland_and_Labrador/CAN_NL_Channel-Port.aux.Basques.711970_TMYx.2007-2021.zip")</f>
        <v>https://climate.onebuilding.org/WMO_Region_4_North_and_Central_America/CAN_Canada/NL_Newfoundland_and_Labrador/CAN_NL_Channel-Port.aux.Basques.711970_TMYx.2007-2021.zip</v>
      </c>
    </row>
    <row r="710" spans="1:10" x14ac:dyDescent="0.25">
      <c r="A710" t="s">
        <v>6</v>
      </c>
      <c r="B710" t="s">
        <v>11</v>
      </c>
      <c r="C710" t="s">
        <v>374</v>
      </c>
      <c r="D710">
        <v>711970</v>
      </c>
      <c r="E710" t="s">
        <v>10</v>
      </c>
      <c r="F710">
        <v>47.573399999999999</v>
      </c>
      <c r="G710">
        <v>-59.153100000000002</v>
      </c>
      <c r="H710">
        <v>-3.5</v>
      </c>
      <c r="I710">
        <v>39.700000000000003</v>
      </c>
      <c r="J710" t="str">
        <f>HYPERLINK("https://climate.onebuilding.org/WMO_Region_4_North_and_Central_America/CAN_Canada/NL_Newfoundland_and_Labrador/CAN_NL_Channel-Port.aux.Basques.711970_TMYx.2009-2023.zip")</f>
        <v>https://climate.onebuilding.org/WMO_Region_4_North_and_Central_America/CAN_Canada/NL_Newfoundland_and_Labrador/CAN_NL_Channel-Port.aux.Basques.711970_TMYx.2009-2023.zip</v>
      </c>
    </row>
    <row r="711" spans="1:10" x14ac:dyDescent="0.25">
      <c r="A711" t="s">
        <v>6</v>
      </c>
      <c r="B711" t="s">
        <v>11</v>
      </c>
      <c r="C711" t="s">
        <v>374</v>
      </c>
      <c r="D711">
        <v>711970</v>
      </c>
      <c r="E711" t="s">
        <v>10</v>
      </c>
      <c r="F711">
        <v>47.573399999999999</v>
      </c>
      <c r="G711">
        <v>-59.153100000000002</v>
      </c>
      <c r="H711">
        <v>-3.5</v>
      </c>
      <c r="I711">
        <v>39.700000000000003</v>
      </c>
      <c r="J711" t="str">
        <f>HYPERLINK("https://climate.onebuilding.org/WMO_Region_4_North_and_Central_America/CAN_Canada/NL_Newfoundland_and_Labrador/CAN_NL_Channel-Port.aux.Basques.711970_TMYx.zip")</f>
        <v>https://climate.onebuilding.org/WMO_Region_4_North_and_Central_America/CAN_Canada/NL_Newfoundland_and_Labrador/CAN_NL_Channel-Port.aux.Basques.711970_TMYx.zip</v>
      </c>
    </row>
    <row r="712" spans="1:10" x14ac:dyDescent="0.25">
      <c r="A712" t="s">
        <v>6</v>
      </c>
      <c r="B712" t="s">
        <v>14</v>
      </c>
      <c r="C712" t="s">
        <v>376</v>
      </c>
      <c r="D712">
        <v>711980</v>
      </c>
      <c r="E712" t="s">
        <v>377</v>
      </c>
      <c r="F712">
        <v>46.183300000000003</v>
      </c>
      <c r="G712">
        <v>-72.916700000000006</v>
      </c>
      <c r="H712">
        <v>-5</v>
      </c>
      <c r="I712">
        <v>16.2</v>
      </c>
      <c r="J712" t="str">
        <f>HYPERLINK("https://climate.onebuilding.org/WMO_Region_4_North_and_Central_America/CAN_Canada/QC_Quebec/CAN_QC_Lac.Saint-Pierre.711980_TMYx.2004-2018.zip")</f>
        <v>https://climate.onebuilding.org/WMO_Region_4_North_and_Central_America/CAN_Canada/QC_Quebec/CAN_QC_Lac.Saint-Pierre.711980_TMYx.2004-2018.zip</v>
      </c>
    </row>
    <row r="713" spans="1:10" x14ac:dyDescent="0.25">
      <c r="A713" t="s">
        <v>6</v>
      </c>
      <c r="B713" t="s">
        <v>14</v>
      </c>
      <c r="C713" t="s">
        <v>376</v>
      </c>
      <c r="D713">
        <v>711980</v>
      </c>
      <c r="E713" t="s">
        <v>10</v>
      </c>
      <c r="F713">
        <v>46.183300000000003</v>
      </c>
      <c r="G713">
        <v>-72.916700000000006</v>
      </c>
      <c r="H713">
        <v>-5</v>
      </c>
      <c r="I713">
        <v>16.2</v>
      </c>
      <c r="J713" t="str">
        <f>HYPERLINK("https://climate.onebuilding.org/WMO_Region_4_North_and_Central_America/CAN_Canada/QC_Quebec/CAN_QC_Lac.Saint-Pierre.711980_TMYx.2007-2021.zip")</f>
        <v>https://climate.onebuilding.org/WMO_Region_4_North_and_Central_America/CAN_Canada/QC_Quebec/CAN_QC_Lac.Saint-Pierre.711980_TMYx.2007-2021.zip</v>
      </c>
    </row>
    <row r="714" spans="1:10" x14ac:dyDescent="0.25">
      <c r="A714" t="s">
        <v>6</v>
      </c>
      <c r="B714" t="s">
        <v>14</v>
      </c>
      <c r="C714" t="s">
        <v>376</v>
      </c>
      <c r="D714">
        <v>711980</v>
      </c>
      <c r="E714" t="s">
        <v>10</v>
      </c>
      <c r="F714">
        <v>46.183300000000003</v>
      </c>
      <c r="G714">
        <v>-72.916700000000006</v>
      </c>
      <c r="H714">
        <v>-5</v>
      </c>
      <c r="I714">
        <v>16.2</v>
      </c>
      <c r="J714" t="str">
        <f>HYPERLINK("https://climate.onebuilding.org/WMO_Region_4_North_and_Central_America/CAN_Canada/QC_Quebec/CAN_QC_Lac.Saint-Pierre.711980_TMYx.2009-2023.zip")</f>
        <v>https://climate.onebuilding.org/WMO_Region_4_North_and_Central_America/CAN_Canada/QC_Quebec/CAN_QC_Lac.Saint-Pierre.711980_TMYx.2009-2023.zip</v>
      </c>
    </row>
    <row r="715" spans="1:10" x14ac:dyDescent="0.25">
      <c r="A715" t="s">
        <v>6</v>
      </c>
      <c r="B715" t="s">
        <v>14</v>
      </c>
      <c r="C715" t="s">
        <v>376</v>
      </c>
      <c r="D715">
        <v>711980</v>
      </c>
      <c r="E715" t="s">
        <v>10</v>
      </c>
      <c r="F715">
        <v>46.183300000000003</v>
      </c>
      <c r="G715">
        <v>-72.916700000000006</v>
      </c>
      <c r="H715">
        <v>-5</v>
      </c>
      <c r="I715">
        <v>16.2</v>
      </c>
      <c r="J715" t="str">
        <f>HYPERLINK("https://climate.onebuilding.org/WMO_Region_4_North_and_Central_America/CAN_Canada/QC_Quebec/CAN_QC_Lac.Saint-Pierre.711980_TMYx.zip")</f>
        <v>https://climate.onebuilding.org/WMO_Region_4_North_and_Central_America/CAN_Canada/QC_Quebec/CAN_QC_Lac.Saint-Pierre.711980_TMYx.zip</v>
      </c>
    </row>
    <row r="716" spans="1:10" x14ac:dyDescent="0.25">
      <c r="A716" t="s">
        <v>6</v>
      </c>
      <c r="B716" t="s">
        <v>7</v>
      </c>
      <c r="C716" t="s">
        <v>378</v>
      </c>
      <c r="D716">
        <v>711990</v>
      </c>
      <c r="E716" t="s">
        <v>379</v>
      </c>
      <c r="F716">
        <v>60.117800000000003</v>
      </c>
      <c r="G716">
        <v>-128.8219</v>
      </c>
      <c r="H716">
        <v>-8</v>
      </c>
      <c r="I716">
        <v>689.5</v>
      </c>
      <c r="J716" t="str">
        <f>HYPERLINK("https://climate.onebuilding.org/WMO_Region_4_North_and_Central_America/CAN_Canada/YT_Yukon/CAN_YT_Watson.Lake.AP.711990_TMYx.2004-2018.zip")</f>
        <v>https://climate.onebuilding.org/WMO_Region_4_North_and_Central_America/CAN_Canada/YT_Yukon/CAN_YT_Watson.Lake.AP.711990_TMYx.2004-2018.zip</v>
      </c>
    </row>
    <row r="717" spans="1:10" x14ac:dyDescent="0.25">
      <c r="A717" t="s">
        <v>6</v>
      </c>
      <c r="B717" t="s">
        <v>7</v>
      </c>
      <c r="C717" t="s">
        <v>378</v>
      </c>
      <c r="D717">
        <v>711990</v>
      </c>
      <c r="E717" t="s">
        <v>10</v>
      </c>
      <c r="F717">
        <v>60.114199999999997</v>
      </c>
      <c r="G717">
        <v>-128.8237</v>
      </c>
      <c r="H717">
        <v>-8</v>
      </c>
      <c r="I717">
        <v>689.5</v>
      </c>
      <c r="J717" t="str">
        <f>HYPERLINK("https://climate.onebuilding.org/WMO_Region_4_North_and_Central_America/CAN_Canada/YT_Yukon/CAN_YT_Watson.Lake.AP.711990_TMYx.2007-2021.zip")</f>
        <v>https://climate.onebuilding.org/WMO_Region_4_North_and_Central_America/CAN_Canada/YT_Yukon/CAN_YT_Watson.Lake.AP.711990_TMYx.2007-2021.zip</v>
      </c>
    </row>
    <row r="718" spans="1:10" x14ac:dyDescent="0.25">
      <c r="A718" t="s">
        <v>6</v>
      </c>
      <c r="B718" t="s">
        <v>7</v>
      </c>
      <c r="C718" t="s">
        <v>378</v>
      </c>
      <c r="D718">
        <v>711990</v>
      </c>
      <c r="E718" t="s">
        <v>10</v>
      </c>
      <c r="F718">
        <v>60.114199999999997</v>
      </c>
      <c r="G718">
        <v>-128.8237</v>
      </c>
      <c r="H718">
        <v>-8</v>
      </c>
      <c r="I718">
        <v>689.5</v>
      </c>
      <c r="J718" t="str">
        <f>HYPERLINK("https://climate.onebuilding.org/WMO_Region_4_North_and_Central_America/CAN_Canada/YT_Yukon/CAN_YT_Watson.Lake.AP.711990_TMYx.2009-2023.zip")</f>
        <v>https://climate.onebuilding.org/WMO_Region_4_North_and_Central_America/CAN_Canada/YT_Yukon/CAN_YT_Watson.Lake.AP.711990_TMYx.2009-2023.zip</v>
      </c>
    </row>
    <row r="719" spans="1:10" x14ac:dyDescent="0.25">
      <c r="A719" t="s">
        <v>6</v>
      </c>
      <c r="B719" t="s">
        <v>7</v>
      </c>
      <c r="C719" t="s">
        <v>378</v>
      </c>
      <c r="D719">
        <v>711990</v>
      </c>
      <c r="E719" t="s">
        <v>10</v>
      </c>
      <c r="F719">
        <v>60.114199999999997</v>
      </c>
      <c r="G719">
        <v>-128.8237</v>
      </c>
      <c r="H719">
        <v>-8</v>
      </c>
      <c r="I719">
        <v>689.5</v>
      </c>
      <c r="J719" t="str">
        <f>HYPERLINK("https://climate.onebuilding.org/WMO_Region_4_North_and_Central_America/CAN_Canada/YT_Yukon/CAN_YT_Watson.Lake.AP.711990_TMYx.zip")</f>
        <v>https://climate.onebuilding.org/WMO_Region_4_North_and_Central_America/CAN_Canada/YT_Yukon/CAN_YT_Watson.Lake.AP.711990_TMYx.zip</v>
      </c>
    </row>
    <row r="720" spans="1:10" x14ac:dyDescent="0.25">
      <c r="A720" t="s">
        <v>6</v>
      </c>
      <c r="B720" t="s">
        <v>55</v>
      </c>
      <c r="C720" t="s">
        <v>380</v>
      </c>
      <c r="D720">
        <v>712000</v>
      </c>
      <c r="E720" t="s">
        <v>381</v>
      </c>
      <c r="F720">
        <v>48.4133</v>
      </c>
      <c r="G720">
        <v>-123.32470000000001</v>
      </c>
      <c r="H720">
        <v>-8</v>
      </c>
      <c r="I720">
        <v>69</v>
      </c>
      <c r="J720" t="str">
        <f>HYPERLINK("https://climate.onebuilding.org/WMO_Region_4_North_and_Central_America/CAN_Canada/BC_British_Columbia/CAN_BC_Victoria-Gonzales.CS.712000_TMYx.2004-2018.zip")</f>
        <v>https://climate.onebuilding.org/WMO_Region_4_North_and_Central_America/CAN_Canada/BC_British_Columbia/CAN_BC_Victoria-Gonzales.CS.712000_TMYx.2004-2018.zip</v>
      </c>
    </row>
    <row r="721" spans="1:10" x14ac:dyDescent="0.25">
      <c r="A721" t="s">
        <v>6</v>
      </c>
      <c r="B721" t="s">
        <v>55</v>
      </c>
      <c r="C721" t="s">
        <v>380</v>
      </c>
      <c r="D721">
        <v>712000</v>
      </c>
      <c r="E721" t="s">
        <v>10</v>
      </c>
      <c r="F721">
        <v>48.4133</v>
      </c>
      <c r="G721">
        <v>-123.32470000000001</v>
      </c>
      <c r="H721">
        <v>-8</v>
      </c>
      <c r="I721">
        <v>69</v>
      </c>
      <c r="J721" t="str">
        <f>HYPERLINK("https://climate.onebuilding.org/WMO_Region_4_North_and_Central_America/CAN_Canada/BC_British_Columbia/CAN_BC_Victoria-Gonzales.CS.712000_TMYx.2007-2021.zip")</f>
        <v>https://climate.onebuilding.org/WMO_Region_4_North_and_Central_America/CAN_Canada/BC_British_Columbia/CAN_BC_Victoria-Gonzales.CS.712000_TMYx.2007-2021.zip</v>
      </c>
    </row>
    <row r="722" spans="1:10" x14ac:dyDescent="0.25">
      <c r="A722" t="s">
        <v>6</v>
      </c>
      <c r="B722" t="s">
        <v>55</v>
      </c>
      <c r="C722" t="s">
        <v>380</v>
      </c>
      <c r="D722">
        <v>712000</v>
      </c>
      <c r="E722" t="s">
        <v>10</v>
      </c>
      <c r="F722">
        <v>48.4133</v>
      </c>
      <c r="G722">
        <v>-123.32470000000001</v>
      </c>
      <c r="H722">
        <v>-8</v>
      </c>
      <c r="I722">
        <v>69</v>
      </c>
      <c r="J722" t="str">
        <f>HYPERLINK("https://climate.onebuilding.org/WMO_Region_4_North_and_Central_America/CAN_Canada/BC_British_Columbia/CAN_BC_Victoria-Gonzales.CS.712000_TMYx.2009-2023.zip")</f>
        <v>https://climate.onebuilding.org/WMO_Region_4_North_and_Central_America/CAN_Canada/BC_British_Columbia/CAN_BC_Victoria-Gonzales.CS.712000_TMYx.2009-2023.zip</v>
      </c>
    </row>
    <row r="723" spans="1:10" x14ac:dyDescent="0.25">
      <c r="A723" t="s">
        <v>6</v>
      </c>
      <c r="B723" t="s">
        <v>55</v>
      </c>
      <c r="C723" t="s">
        <v>380</v>
      </c>
      <c r="D723">
        <v>712000</v>
      </c>
      <c r="E723" t="s">
        <v>10</v>
      </c>
      <c r="F723">
        <v>48.4133</v>
      </c>
      <c r="G723">
        <v>-123.32470000000001</v>
      </c>
      <c r="H723">
        <v>-8</v>
      </c>
      <c r="I723">
        <v>69</v>
      </c>
      <c r="J723" t="str">
        <f>HYPERLINK("https://climate.onebuilding.org/WMO_Region_4_North_and_Central_America/CAN_Canada/BC_British_Columbia/CAN_BC_Victoria-Gonzales.CS.712000_TMYx.zip")</f>
        <v>https://climate.onebuilding.org/WMO_Region_4_North_and_Central_America/CAN_Canada/BC_British_Columbia/CAN_BC_Victoria-Gonzales.CS.712000_TMYx.zip</v>
      </c>
    </row>
    <row r="724" spans="1:10" x14ac:dyDescent="0.25">
      <c r="A724" t="s">
        <v>6</v>
      </c>
      <c r="B724" t="s">
        <v>55</v>
      </c>
      <c r="C724" t="s">
        <v>382</v>
      </c>
      <c r="D724">
        <v>712010</v>
      </c>
      <c r="E724" t="s">
        <v>383</v>
      </c>
      <c r="F724">
        <v>49.283000000000001</v>
      </c>
      <c r="G724">
        <v>-123.1219</v>
      </c>
      <c r="H724">
        <v>-8</v>
      </c>
      <c r="I724">
        <v>2.5</v>
      </c>
      <c r="J724" t="str">
        <f>HYPERLINK("https://climate.onebuilding.org/WMO_Region_4_North_and_Central_America/CAN_Canada/BC_British_Columbia/CAN_BC_Vancouver.Harbour.CS.712010_TMYx.2004-2018.zip")</f>
        <v>https://climate.onebuilding.org/WMO_Region_4_North_and_Central_America/CAN_Canada/BC_British_Columbia/CAN_BC_Vancouver.Harbour.CS.712010_TMYx.2004-2018.zip</v>
      </c>
    </row>
    <row r="725" spans="1:10" x14ac:dyDescent="0.25">
      <c r="A725" t="s">
        <v>6</v>
      </c>
      <c r="B725" t="s">
        <v>55</v>
      </c>
      <c r="C725" t="s">
        <v>382</v>
      </c>
      <c r="D725">
        <v>712010</v>
      </c>
      <c r="E725" t="s">
        <v>10</v>
      </c>
      <c r="F725">
        <v>49.295279999999998</v>
      </c>
      <c r="G725">
        <v>-123.1219</v>
      </c>
      <c r="H725">
        <v>-8</v>
      </c>
      <c r="I725">
        <v>2.5</v>
      </c>
      <c r="J725" t="str">
        <f>HYPERLINK("https://climate.onebuilding.org/WMO_Region_4_North_and_Central_America/CAN_Canada/BC_British_Columbia/CAN_BC_Vancouver.Harbour.CS.712010_TMYx.2007-2021.zip")</f>
        <v>https://climate.onebuilding.org/WMO_Region_4_North_and_Central_America/CAN_Canada/BC_British_Columbia/CAN_BC_Vancouver.Harbour.CS.712010_TMYx.2007-2021.zip</v>
      </c>
    </row>
    <row r="726" spans="1:10" x14ac:dyDescent="0.25">
      <c r="A726" t="s">
        <v>6</v>
      </c>
      <c r="B726" t="s">
        <v>55</v>
      </c>
      <c r="C726" t="s">
        <v>382</v>
      </c>
      <c r="D726">
        <v>712010</v>
      </c>
      <c r="E726" t="s">
        <v>10</v>
      </c>
      <c r="F726">
        <v>49.295279999999998</v>
      </c>
      <c r="G726">
        <v>-123.1219</v>
      </c>
      <c r="H726">
        <v>-8</v>
      </c>
      <c r="I726">
        <v>2.5</v>
      </c>
      <c r="J726" t="str">
        <f>HYPERLINK("https://climate.onebuilding.org/WMO_Region_4_North_and_Central_America/CAN_Canada/BC_British_Columbia/CAN_BC_Vancouver.Harbour.CS.712010_TMYx.2009-2023.zip")</f>
        <v>https://climate.onebuilding.org/WMO_Region_4_North_and_Central_America/CAN_Canada/BC_British_Columbia/CAN_BC_Vancouver.Harbour.CS.712010_TMYx.2009-2023.zip</v>
      </c>
    </row>
    <row r="727" spans="1:10" x14ac:dyDescent="0.25">
      <c r="A727" t="s">
        <v>6</v>
      </c>
      <c r="B727" t="s">
        <v>55</v>
      </c>
      <c r="C727" t="s">
        <v>382</v>
      </c>
      <c r="D727">
        <v>712010</v>
      </c>
      <c r="E727" t="s">
        <v>10</v>
      </c>
      <c r="F727">
        <v>49.295279999999998</v>
      </c>
      <c r="G727">
        <v>-123.1219</v>
      </c>
      <c r="H727">
        <v>-8</v>
      </c>
      <c r="I727">
        <v>2.5</v>
      </c>
      <c r="J727" t="str">
        <f>HYPERLINK("https://climate.onebuilding.org/WMO_Region_4_North_and_Central_America/CAN_Canada/BC_British_Columbia/CAN_BC_Vancouver.Harbour.CS.712010_TMYx.zip")</f>
        <v>https://climate.onebuilding.org/WMO_Region_4_North_and_Central_America/CAN_Canada/BC_British_Columbia/CAN_BC_Vancouver.Harbour.CS.712010_TMYx.zip</v>
      </c>
    </row>
    <row r="728" spans="1:10" x14ac:dyDescent="0.25">
      <c r="A728" t="s">
        <v>6</v>
      </c>
      <c r="B728" t="s">
        <v>17</v>
      </c>
      <c r="C728" t="s">
        <v>384</v>
      </c>
      <c r="D728">
        <v>712020</v>
      </c>
      <c r="E728" t="s">
        <v>385</v>
      </c>
      <c r="F728">
        <v>52.780299999999997</v>
      </c>
      <c r="G728">
        <v>-112.4278</v>
      </c>
      <c r="H728">
        <v>-7</v>
      </c>
      <c r="I728">
        <v>712</v>
      </c>
      <c r="J728" t="str">
        <f>HYPERLINK("https://climate.onebuilding.org/WMO_Region_4_North_and_Central_America/CAN_Canada/AB_Alberta/CAN_AB_Rosalind.AgCM.712020_TMYx.2004-2018.zip")</f>
        <v>https://climate.onebuilding.org/WMO_Region_4_North_and_Central_America/CAN_Canada/AB_Alberta/CAN_AB_Rosalind.AgCM.712020_TMYx.2004-2018.zip</v>
      </c>
    </row>
    <row r="729" spans="1:10" x14ac:dyDescent="0.25">
      <c r="A729" t="s">
        <v>6</v>
      </c>
      <c r="B729" t="s">
        <v>17</v>
      </c>
      <c r="C729" t="s">
        <v>384</v>
      </c>
      <c r="D729">
        <v>712020</v>
      </c>
      <c r="E729" t="s">
        <v>10</v>
      </c>
      <c r="F729">
        <v>52.792299999999997</v>
      </c>
      <c r="G729">
        <v>-112.4228</v>
      </c>
      <c r="H729">
        <v>-7</v>
      </c>
      <c r="I729">
        <v>712</v>
      </c>
      <c r="J729" t="str">
        <f>HYPERLINK("https://climate.onebuilding.org/WMO_Region_4_North_and_Central_America/CAN_Canada/AB_Alberta/CAN_AB_Rosalind.AgCM.712020_TMYx.2007-2021.zip")</f>
        <v>https://climate.onebuilding.org/WMO_Region_4_North_and_Central_America/CAN_Canada/AB_Alberta/CAN_AB_Rosalind.AgCM.712020_TMYx.2007-2021.zip</v>
      </c>
    </row>
    <row r="730" spans="1:10" x14ac:dyDescent="0.25">
      <c r="A730" t="s">
        <v>6</v>
      </c>
      <c r="B730" t="s">
        <v>17</v>
      </c>
      <c r="C730" t="s">
        <v>384</v>
      </c>
      <c r="D730">
        <v>712020</v>
      </c>
      <c r="E730" t="s">
        <v>10</v>
      </c>
      <c r="F730">
        <v>52.792299999999997</v>
      </c>
      <c r="G730">
        <v>-112.4228</v>
      </c>
      <c r="H730">
        <v>-7</v>
      </c>
      <c r="I730">
        <v>712</v>
      </c>
      <c r="J730" t="str">
        <f>HYPERLINK("https://climate.onebuilding.org/WMO_Region_4_North_and_Central_America/CAN_Canada/AB_Alberta/CAN_AB_Rosalind.AgCM.712020_TMYx.2009-2023.zip")</f>
        <v>https://climate.onebuilding.org/WMO_Region_4_North_and_Central_America/CAN_Canada/AB_Alberta/CAN_AB_Rosalind.AgCM.712020_TMYx.2009-2023.zip</v>
      </c>
    </row>
    <row r="731" spans="1:10" x14ac:dyDescent="0.25">
      <c r="A731" t="s">
        <v>6</v>
      </c>
      <c r="B731" t="s">
        <v>17</v>
      </c>
      <c r="C731" t="s">
        <v>384</v>
      </c>
      <c r="D731">
        <v>712020</v>
      </c>
      <c r="E731" t="s">
        <v>10</v>
      </c>
      <c r="F731">
        <v>52.792299999999997</v>
      </c>
      <c r="G731">
        <v>-112.4228</v>
      </c>
      <c r="H731">
        <v>-7</v>
      </c>
      <c r="I731">
        <v>712</v>
      </c>
      <c r="J731" t="str">
        <f>HYPERLINK("https://climate.onebuilding.org/WMO_Region_4_North_and_Central_America/CAN_Canada/AB_Alberta/CAN_AB_Rosalind.AgCM.712020_TMYx.zip")</f>
        <v>https://climate.onebuilding.org/WMO_Region_4_North_and_Central_America/CAN_Canada/AB_Alberta/CAN_AB_Rosalind.AgCM.712020_TMYx.zip</v>
      </c>
    </row>
    <row r="732" spans="1:10" x14ac:dyDescent="0.25">
      <c r="A732" t="s">
        <v>6</v>
      </c>
      <c r="B732" t="s">
        <v>55</v>
      </c>
      <c r="C732" t="s">
        <v>386</v>
      </c>
      <c r="D732">
        <v>712030</v>
      </c>
      <c r="E732" t="s">
        <v>387</v>
      </c>
      <c r="F732">
        <v>49.9572</v>
      </c>
      <c r="G732">
        <v>-119.37779999999999</v>
      </c>
      <c r="H732">
        <v>-8</v>
      </c>
      <c r="I732">
        <v>433.1</v>
      </c>
      <c r="J732" t="str">
        <f>HYPERLINK("https://climate.onebuilding.org/WMO_Region_4_North_and_Central_America/CAN_Canada/BC_British_Columbia/CAN_BC_Kelowna.Intl.AP.712030_TMYx.2004-2018.zip")</f>
        <v>https://climate.onebuilding.org/WMO_Region_4_North_and_Central_America/CAN_Canada/BC_British_Columbia/CAN_BC_Kelowna.Intl.AP.712030_TMYx.2004-2018.zip</v>
      </c>
    </row>
    <row r="733" spans="1:10" x14ac:dyDescent="0.25">
      <c r="A733" t="s">
        <v>6</v>
      </c>
      <c r="B733" t="s">
        <v>55</v>
      </c>
      <c r="C733" t="s">
        <v>386</v>
      </c>
      <c r="D733">
        <v>712030</v>
      </c>
      <c r="E733" t="s">
        <v>10</v>
      </c>
      <c r="F733">
        <v>49.96</v>
      </c>
      <c r="G733">
        <v>-119.38</v>
      </c>
      <c r="H733">
        <v>-8</v>
      </c>
      <c r="I733">
        <v>433.1</v>
      </c>
      <c r="J733" t="str">
        <f>HYPERLINK("https://climate.onebuilding.org/WMO_Region_4_North_and_Central_America/CAN_Canada/BC_British_Columbia/CAN_BC_Kelowna.Intl.AP.712030_TMYx.2007-2021.zip")</f>
        <v>https://climate.onebuilding.org/WMO_Region_4_North_and_Central_America/CAN_Canada/BC_British_Columbia/CAN_BC_Kelowna.Intl.AP.712030_TMYx.2007-2021.zip</v>
      </c>
    </row>
    <row r="734" spans="1:10" x14ac:dyDescent="0.25">
      <c r="A734" t="s">
        <v>6</v>
      </c>
      <c r="B734" t="s">
        <v>55</v>
      </c>
      <c r="C734" t="s">
        <v>386</v>
      </c>
      <c r="D734">
        <v>712030</v>
      </c>
      <c r="E734" t="s">
        <v>10</v>
      </c>
      <c r="F734">
        <v>49.96</v>
      </c>
      <c r="G734">
        <v>-119.38</v>
      </c>
      <c r="H734">
        <v>-8</v>
      </c>
      <c r="I734">
        <v>433.1</v>
      </c>
      <c r="J734" t="str">
        <f>HYPERLINK("https://climate.onebuilding.org/WMO_Region_4_North_and_Central_America/CAN_Canada/BC_British_Columbia/CAN_BC_Kelowna.Intl.AP.712030_TMYx.2009-2023.zip")</f>
        <v>https://climate.onebuilding.org/WMO_Region_4_North_and_Central_America/CAN_Canada/BC_British_Columbia/CAN_BC_Kelowna.Intl.AP.712030_TMYx.2009-2023.zip</v>
      </c>
    </row>
    <row r="735" spans="1:10" x14ac:dyDescent="0.25">
      <c r="A735" t="s">
        <v>6</v>
      </c>
      <c r="B735" t="s">
        <v>55</v>
      </c>
      <c r="C735" t="s">
        <v>386</v>
      </c>
      <c r="D735">
        <v>712030</v>
      </c>
      <c r="E735" t="s">
        <v>10</v>
      </c>
      <c r="F735">
        <v>49.96</v>
      </c>
      <c r="G735">
        <v>-119.38</v>
      </c>
      <c r="H735">
        <v>-8</v>
      </c>
      <c r="I735">
        <v>433.1</v>
      </c>
      <c r="J735" t="str">
        <f>HYPERLINK("https://climate.onebuilding.org/WMO_Region_4_North_and_Central_America/CAN_Canada/BC_British_Columbia/CAN_BC_Kelowna.Intl.AP.712030_TMYx.zip")</f>
        <v>https://climate.onebuilding.org/WMO_Region_4_North_and_Central_America/CAN_Canada/BC_British_Columbia/CAN_BC_Kelowna.Intl.AP.712030_TMYx.zip</v>
      </c>
    </row>
    <row r="736" spans="1:10" x14ac:dyDescent="0.25">
      <c r="A736" t="s">
        <v>6</v>
      </c>
      <c r="B736" t="s">
        <v>58</v>
      </c>
      <c r="C736" t="s">
        <v>388</v>
      </c>
      <c r="D736">
        <v>712040</v>
      </c>
      <c r="E736" t="s">
        <v>389</v>
      </c>
      <c r="F736">
        <v>49.1</v>
      </c>
      <c r="G736">
        <v>-107.017</v>
      </c>
      <c r="H736">
        <v>-6</v>
      </c>
      <c r="I736">
        <v>830</v>
      </c>
      <c r="J736" t="str">
        <f>HYPERLINK("https://climate.onebuilding.org/WMO_Region_4_North_and_Central_America/CAN_Canada/SK_Saskatchewan/CAN_SK_Mankota.712040_TMYx.2004-2018.zip")</f>
        <v>https://climate.onebuilding.org/WMO_Region_4_North_and_Central_America/CAN_Canada/SK_Saskatchewan/CAN_SK_Mankota.712040_TMYx.2004-2018.zip</v>
      </c>
    </row>
    <row r="737" spans="1:10" x14ac:dyDescent="0.25">
      <c r="A737" t="s">
        <v>6</v>
      </c>
      <c r="B737" t="s">
        <v>58</v>
      </c>
      <c r="C737" t="s">
        <v>388</v>
      </c>
      <c r="D737">
        <v>712040</v>
      </c>
      <c r="E737" t="s">
        <v>10</v>
      </c>
      <c r="F737">
        <v>49.1</v>
      </c>
      <c r="G737">
        <v>-107.017</v>
      </c>
      <c r="H737">
        <v>-6</v>
      </c>
      <c r="I737">
        <v>830</v>
      </c>
      <c r="J737" t="str">
        <f>HYPERLINK("https://climate.onebuilding.org/WMO_Region_4_North_and_Central_America/CAN_Canada/SK_Saskatchewan/CAN_SK_Mankota.712040_TMYx.2007-2021.zip")</f>
        <v>https://climate.onebuilding.org/WMO_Region_4_North_and_Central_America/CAN_Canada/SK_Saskatchewan/CAN_SK_Mankota.712040_TMYx.2007-2021.zip</v>
      </c>
    </row>
    <row r="738" spans="1:10" x14ac:dyDescent="0.25">
      <c r="A738" t="s">
        <v>6</v>
      </c>
      <c r="B738" t="s">
        <v>58</v>
      </c>
      <c r="C738" t="s">
        <v>388</v>
      </c>
      <c r="D738">
        <v>712040</v>
      </c>
      <c r="E738" t="s">
        <v>10</v>
      </c>
      <c r="F738">
        <v>49.1</v>
      </c>
      <c r="G738">
        <v>-107.017</v>
      </c>
      <c r="H738">
        <v>-6</v>
      </c>
      <c r="I738">
        <v>830</v>
      </c>
      <c r="J738" t="str">
        <f>HYPERLINK("https://climate.onebuilding.org/WMO_Region_4_North_and_Central_America/CAN_Canada/SK_Saskatchewan/CAN_SK_Mankota.712040_TMYx.2009-2023.zip")</f>
        <v>https://climate.onebuilding.org/WMO_Region_4_North_and_Central_America/CAN_Canada/SK_Saskatchewan/CAN_SK_Mankota.712040_TMYx.2009-2023.zip</v>
      </c>
    </row>
    <row r="739" spans="1:10" x14ac:dyDescent="0.25">
      <c r="A739" t="s">
        <v>6</v>
      </c>
      <c r="B739" t="s">
        <v>58</v>
      </c>
      <c r="C739" t="s">
        <v>388</v>
      </c>
      <c r="D739">
        <v>712040</v>
      </c>
      <c r="E739" t="s">
        <v>10</v>
      </c>
      <c r="F739">
        <v>49.1</v>
      </c>
      <c r="G739">
        <v>-107.017</v>
      </c>
      <c r="H739">
        <v>-6</v>
      </c>
      <c r="I739">
        <v>830</v>
      </c>
      <c r="J739" t="str">
        <f>HYPERLINK("https://climate.onebuilding.org/WMO_Region_4_North_and_Central_America/CAN_Canada/SK_Saskatchewan/CAN_SK_Mankota.712040_TMYx.zip")</f>
        <v>https://climate.onebuilding.org/WMO_Region_4_North_and_Central_America/CAN_Canada/SK_Saskatchewan/CAN_SK_Mankota.712040_TMYx.zip</v>
      </c>
    </row>
    <row r="740" spans="1:10" x14ac:dyDescent="0.25">
      <c r="A740" t="s">
        <v>6</v>
      </c>
      <c r="B740" t="s">
        <v>55</v>
      </c>
      <c r="C740" t="s">
        <v>390</v>
      </c>
      <c r="D740">
        <v>712060</v>
      </c>
      <c r="E740" t="s">
        <v>391</v>
      </c>
      <c r="F740">
        <v>52.387999999999998</v>
      </c>
      <c r="G740">
        <v>-126.596</v>
      </c>
      <c r="H740">
        <v>-8</v>
      </c>
      <c r="I740">
        <v>35.700000000000003</v>
      </c>
      <c r="J740" t="str">
        <f>HYPERLINK("https://climate.onebuilding.org/WMO_Region_4_North_and_Central_America/CAN_Canada/BC_British_Columbia/CAN_BC_Bella.Coola.AP.712060_TMYx.2004-2018.zip")</f>
        <v>https://climate.onebuilding.org/WMO_Region_4_North_and_Central_America/CAN_Canada/BC_British_Columbia/CAN_BC_Bella.Coola.AP.712060_TMYx.2004-2018.zip</v>
      </c>
    </row>
    <row r="741" spans="1:10" x14ac:dyDescent="0.25">
      <c r="A741" t="s">
        <v>6</v>
      </c>
      <c r="B741" t="s">
        <v>55</v>
      </c>
      <c r="C741" t="s">
        <v>390</v>
      </c>
      <c r="D741">
        <v>712060</v>
      </c>
      <c r="E741" t="s">
        <v>10</v>
      </c>
      <c r="F741">
        <v>52.387999999999998</v>
      </c>
      <c r="G741">
        <v>-126.596</v>
      </c>
      <c r="H741">
        <v>-8</v>
      </c>
      <c r="I741">
        <v>35.700000000000003</v>
      </c>
      <c r="J741" t="str">
        <f>HYPERLINK("https://climate.onebuilding.org/WMO_Region_4_North_and_Central_America/CAN_Canada/BC_British_Columbia/CAN_BC_Bella.Coola.AP.712060_TMYx.2007-2021.zip")</f>
        <v>https://climate.onebuilding.org/WMO_Region_4_North_and_Central_America/CAN_Canada/BC_British_Columbia/CAN_BC_Bella.Coola.AP.712060_TMYx.2007-2021.zip</v>
      </c>
    </row>
    <row r="742" spans="1:10" x14ac:dyDescent="0.25">
      <c r="A742" t="s">
        <v>6</v>
      </c>
      <c r="B742" t="s">
        <v>55</v>
      </c>
      <c r="C742" t="s">
        <v>390</v>
      </c>
      <c r="D742">
        <v>712060</v>
      </c>
      <c r="E742" t="s">
        <v>10</v>
      </c>
      <c r="F742">
        <v>52.387999999999998</v>
      </c>
      <c r="G742">
        <v>-126.596</v>
      </c>
      <c r="H742">
        <v>-8</v>
      </c>
      <c r="I742">
        <v>35.700000000000003</v>
      </c>
      <c r="J742" t="str">
        <f>HYPERLINK("https://climate.onebuilding.org/WMO_Region_4_North_and_Central_America/CAN_Canada/BC_British_Columbia/CAN_BC_Bella.Coola.AP.712060_TMYx.2009-2023.zip")</f>
        <v>https://climate.onebuilding.org/WMO_Region_4_North_and_Central_America/CAN_Canada/BC_British_Columbia/CAN_BC_Bella.Coola.AP.712060_TMYx.2009-2023.zip</v>
      </c>
    </row>
    <row r="743" spans="1:10" x14ac:dyDescent="0.25">
      <c r="A743" t="s">
        <v>6</v>
      </c>
      <c r="B743" t="s">
        <v>55</v>
      </c>
      <c r="C743" t="s">
        <v>390</v>
      </c>
      <c r="D743">
        <v>712060</v>
      </c>
      <c r="E743" t="s">
        <v>10</v>
      </c>
      <c r="F743">
        <v>52.387999999999998</v>
      </c>
      <c r="G743">
        <v>-126.596</v>
      </c>
      <c r="H743">
        <v>-8</v>
      </c>
      <c r="I743">
        <v>35.700000000000003</v>
      </c>
      <c r="J743" t="str">
        <f>HYPERLINK("https://climate.onebuilding.org/WMO_Region_4_North_and_Central_America/CAN_Canada/BC_British_Columbia/CAN_BC_Bella.Coola.AP.712060_TMYx.zip")</f>
        <v>https://climate.onebuilding.org/WMO_Region_4_North_and_Central_America/CAN_Canada/BC_British_Columbia/CAN_BC_Bella.Coola.AP.712060_TMYx.zip</v>
      </c>
    </row>
    <row r="744" spans="1:10" x14ac:dyDescent="0.25">
      <c r="A744" t="s">
        <v>6</v>
      </c>
      <c r="B744" t="s">
        <v>55</v>
      </c>
      <c r="C744" t="s">
        <v>392</v>
      </c>
      <c r="D744">
        <v>712070</v>
      </c>
      <c r="E744" t="s">
        <v>393</v>
      </c>
      <c r="F744">
        <v>49.783099999999997</v>
      </c>
      <c r="G744">
        <v>-123.16079999999999</v>
      </c>
      <c r="H744">
        <v>-8</v>
      </c>
      <c r="I744">
        <v>53.7</v>
      </c>
      <c r="J744" t="str">
        <f>HYPERLINK("https://climate.onebuilding.org/WMO_Region_4_North_and_Central_America/CAN_Canada/BC_British_Columbia/CAN_BC_Squamish.AP.712070_TMYx.2004-2018.zip")</f>
        <v>https://climate.onebuilding.org/WMO_Region_4_North_and_Central_America/CAN_Canada/BC_British_Columbia/CAN_BC_Squamish.AP.712070_TMYx.2004-2018.zip</v>
      </c>
    </row>
    <row r="745" spans="1:10" x14ac:dyDescent="0.25">
      <c r="A745" t="s">
        <v>6</v>
      </c>
      <c r="B745" t="s">
        <v>55</v>
      </c>
      <c r="C745" t="s">
        <v>392</v>
      </c>
      <c r="D745">
        <v>712070</v>
      </c>
      <c r="E745" t="s">
        <v>10</v>
      </c>
      <c r="F745">
        <v>49.78</v>
      </c>
      <c r="G745">
        <v>-123.16</v>
      </c>
      <c r="H745">
        <v>-8</v>
      </c>
      <c r="I745">
        <v>53.7</v>
      </c>
      <c r="J745" t="str">
        <f>HYPERLINK("https://climate.onebuilding.org/WMO_Region_4_North_and_Central_America/CAN_Canada/BC_British_Columbia/CAN_BC_Squamish.AP.712070_TMYx.2007-2021.zip")</f>
        <v>https://climate.onebuilding.org/WMO_Region_4_North_and_Central_America/CAN_Canada/BC_British_Columbia/CAN_BC_Squamish.AP.712070_TMYx.2007-2021.zip</v>
      </c>
    </row>
    <row r="746" spans="1:10" x14ac:dyDescent="0.25">
      <c r="A746" t="s">
        <v>6</v>
      </c>
      <c r="B746" t="s">
        <v>55</v>
      </c>
      <c r="C746" t="s">
        <v>392</v>
      </c>
      <c r="D746">
        <v>712070</v>
      </c>
      <c r="E746" t="s">
        <v>10</v>
      </c>
      <c r="F746">
        <v>49.78</v>
      </c>
      <c r="G746">
        <v>-123.16</v>
      </c>
      <c r="H746">
        <v>-8</v>
      </c>
      <c r="I746">
        <v>53.7</v>
      </c>
      <c r="J746" t="str">
        <f>HYPERLINK("https://climate.onebuilding.org/WMO_Region_4_North_and_Central_America/CAN_Canada/BC_British_Columbia/CAN_BC_Squamish.AP.712070_TMYx.2009-2023.zip")</f>
        <v>https://climate.onebuilding.org/WMO_Region_4_North_and_Central_America/CAN_Canada/BC_British_Columbia/CAN_BC_Squamish.AP.712070_TMYx.2009-2023.zip</v>
      </c>
    </row>
    <row r="747" spans="1:10" x14ac:dyDescent="0.25">
      <c r="A747" t="s">
        <v>6</v>
      </c>
      <c r="B747" t="s">
        <v>55</v>
      </c>
      <c r="C747" t="s">
        <v>392</v>
      </c>
      <c r="D747">
        <v>712070</v>
      </c>
      <c r="E747" t="s">
        <v>10</v>
      </c>
      <c r="F747">
        <v>49.78</v>
      </c>
      <c r="G747">
        <v>-123.16</v>
      </c>
      <c r="H747">
        <v>-8</v>
      </c>
      <c r="I747">
        <v>53.7</v>
      </c>
      <c r="J747" t="str">
        <f>HYPERLINK("https://climate.onebuilding.org/WMO_Region_4_North_and_Central_America/CAN_Canada/BC_British_Columbia/CAN_BC_Squamish.AP.712070_TMYx.zip")</f>
        <v>https://climate.onebuilding.org/WMO_Region_4_North_and_Central_America/CAN_Canada/BC_British_Columbia/CAN_BC_Squamish.AP.712070_TMYx.zip</v>
      </c>
    </row>
    <row r="748" spans="1:10" x14ac:dyDescent="0.25">
      <c r="A748" t="s">
        <v>6</v>
      </c>
      <c r="B748" t="s">
        <v>130</v>
      </c>
      <c r="C748" t="s">
        <v>394</v>
      </c>
      <c r="D748">
        <v>712080</v>
      </c>
      <c r="E748" t="s">
        <v>395</v>
      </c>
      <c r="F748">
        <v>53.816099999999999</v>
      </c>
      <c r="G748">
        <v>-89.8917</v>
      </c>
      <c r="H748">
        <v>-6</v>
      </c>
      <c r="I748">
        <v>224.1</v>
      </c>
      <c r="J748" t="str">
        <f>HYPERLINK("https://climate.onebuilding.org/WMO_Region_4_North_and_Central_America/CAN_Canada/ON_Ontario/CAN_ON_Big.Trout.Lake.AP.712080_TMYx.2004-2018.zip")</f>
        <v>https://climate.onebuilding.org/WMO_Region_4_North_and_Central_America/CAN_Canada/ON_Ontario/CAN_ON_Big.Trout.Lake.AP.712080_TMYx.2004-2018.zip</v>
      </c>
    </row>
    <row r="749" spans="1:10" x14ac:dyDescent="0.25">
      <c r="A749" t="s">
        <v>6</v>
      </c>
      <c r="B749" t="s">
        <v>130</v>
      </c>
      <c r="C749" t="s">
        <v>394</v>
      </c>
      <c r="D749">
        <v>712080</v>
      </c>
      <c r="E749" t="s">
        <v>10</v>
      </c>
      <c r="F749">
        <v>53.816099999999999</v>
      </c>
      <c r="G749">
        <v>-89.8917</v>
      </c>
      <c r="H749">
        <v>-6</v>
      </c>
      <c r="I749">
        <v>224.1</v>
      </c>
      <c r="J749" t="str">
        <f>HYPERLINK("https://climate.onebuilding.org/WMO_Region_4_North_and_Central_America/CAN_Canada/ON_Ontario/CAN_ON_Big.Trout.Lake.AP.712080_TMYx.2007-2021.zip")</f>
        <v>https://climate.onebuilding.org/WMO_Region_4_North_and_Central_America/CAN_Canada/ON_Ontario/CAN_ON_Big.Trout.Lake.AP.712080_TMYx.2007-2021.zip</v>
      </c>
    </row>
    <row r="750" spans="1:10" x14ac:dyDescent="0.25">
      <c r="A750" t="s">
        <v>6</v>
      </c>
      <c r="B750" t="s">
        <v>130</v>
      </c>
      <c r="C750" t="s">
        <v>394</v>
      </c>
      <c r="D750">
        <v>712080</v>
      </c>
      <c r="E750" t="s">
        <v>10</v>
      </c>
      <c r="F750">
        <v>53.816099999999999</v>
      </c>
      <c r="G750">
        <v>-89.8917</v>
      </c>
      <c r="H750">
        <v>-6</v>
      </c>
      <c r="I750">
        <v>224.1</v>
      </c>
      <c r="J750" t="str">
        <f>HYPERLINK("https://climate.onebuilding.org/WMO_Region_4_North_and_Central_America/CAN_Canada/ON_Ontario/CAN_ON_Big.Trout.Lake.AP.712080_TMYx.2009-2023.zip")</f>
        <v>https://climate.onebuilding.org/WMO_Region_4_North_and_Central_America/CAN_Canada/ON_Ontario/CAN_ON_Big.Trout.Lake.AP.712080_TMYx.2009-2023.zip</v>
      </c>
    </row>
    <row r="751" spans="1:10" x14ac:dyDescent="0.25">
      <c r="A751" t="s">
        <v>6</v>
      </c>
      <c r="B751" t="s">
        <v>130</v>
      </c>
      <c r="C751" t="s">
        <v>394</v>
      </c>
      <c r="D751">
        <v>712080</v>
      </c>
      <c r="E751" t="s">
        <v>10</v>
      </c>
      <c r="F751">
        <v>53.816099999999999</v>
      </c>
      <c r="G751">
        <v>-89.8917</v>
      </c>
      <c r="H751">
        <v>-6</v>
      </c>
      <c r="I751">
        <v>224.1</v>
      </c>
      <c r="J751" t="str">
        <f>HYPERLINK("https://climate.onebuilding.org/WMO_Region_4_North_and_Central_America/CAN_Canada/ON_Ontario/CAN_ON_Big.Trout.Lake.AP.712080_TMYx.zip")</f>
        <v>https://climate.onebuilding.org/WMO_Region_4_North_and_Central_America/CAN_Canada/ON_Ontario/CAN_ON_Big.Trout.Lake.AP.712080_TMYx.zip</v>
      </c>
    </row>
    <row r="752" spans="1:10" x14ac:dyDescent="0.25">
      <c r="A752" t="s">
        <v>6</v>
      </c>
      <c r="B752" t="s">
        <v>55</v>
      </c>
      <c r="C752" t="s">
        <v>396</v>
      </c>
      <c r="D752">
        <v>712090</v>
      </c>
      <c r="E752" t="s">
        <v>397</v>
      </c>
      <c r="F752">
        <v>49.105800000000002</v>
      </c>
      <c r="G752">
        <v>-123.30329999999999</v>
      </c>
      <c r="H752">
        <v>-8</v>
      </c>
      <c r="I752">
        <v>11</v>
      </c>
      <c r="J752" t="str">
        <f>HYPERLINK("https://climate.onebuilding.org/WMO_Region_4_North_and_Central_America/CAN_Canada/BC_British_Columbia/CAN_BC_Sandheads.CS.712090_TMYx.2004-2018.zip")</f>
        <v>https://climate.onebuilding.org/WMO_Region_4_North_and_Central_America/CAN_Canada/BC_British_Columbia/CAN_BC_Sandheads.CS.712090_TMYx.2004-2018.zip</v>
      </c>
    </row>
    <row r="753" spans="1:10" x14ac:dyDescent="0.25">
      <c r="A753" t="s">
        <v>6</v>
      </c>
      <c r="B753" t="s">
        <v>55</v>
      </c>
      <c r="C753" t="s">
        <v>396</v>
      </c>
      <c r="D753">
        <v>712090</v>
      </c>
      <c r="E753" t="s">
        <v>10</v>
      </c>
      <c r="F753">
        <v>49.105800000000002</v>
      </c>
      <c r="G753">
        <v>-123.30329999999999</v>
      </c>
      <c r="H753">
        <v>-8</v>
      </c>
      <c r="I753">
        <v>11</v>
      </c>
      <c r="J753" t="str">
        <f>HYPERLINK("https://climate.onebuilding.org/WMO_Region_4_North_and_Central_America/CAN_Canada/BC_British_Columbia/CAN_BC_Sandheads.CS.712090_TMYx.2007-2021.zip")</f>
        <v>https://climate.onebuilding.org/WMO_Region_4_North_and_Central_America/CAN_Canada/BC_British_Columbia/CAN_BC_Sandheads.CS.712090_TMYx.2007-2021.zip</v>
      </c>
    </row>
    <row r="754" spans="1:10" x14ac:dyDescent="0.25">
      <c r="A754" t="s">
        <v>6</v>
      </c>
      <c r="B754" t="s">
        <v>55</v>
      </c>
      <c r="C754" t="s">
        <v>396</v>
      </c>
      <c r="D754">
        <v>712090</v>
      </c>
      <c r="E754" t="s">
        <v>10</v>
      </c>
      <c r="F754">
        <v>49.105800000000002</v>
      </c>
      <c r="G754">
        <v>-123.30329999999999</v>
      </c>
      <c r="H754">
        <v>-8</v>
      </c>
      <c r="I754">
        <v>11</v>
      </c>
      <c r="J754" t="str">
        <f>HYPERLINK("https://climate.onebuilding.org/WMO_Region_4_North_and_Central_America/CAN_Canada/BC_British_Columbia/CAN_BC_Sandheads.CS.712090_TMYx.2009-2023.zip")</f>
        <v>https://climate.onebuilding.org/WMO_Region_4_North_and_Central_America/CAN_Canada/BC_British_Columbia/CAN_BC_Sandheads.CS.712090_TMYx.2009-2023.zip</v>
      </c>
    </row>
    <row r="755" spans="1:10" x14ac:dyDescent="0.25">
      <c r="A755" t="s">
        <v>6</v>
      </c>
      <c r="B755" t="s">
        <v>55</v>
      </c>
      <c r="C755" t="s">
        <v>396</v>
      </c>
      <c r="D755">
        <v>712090</v>
      </c>
      <c r="E755" t="s">
        <v>10</v>
      </c>
      <c r="F755">
        <v>49.105800000000002</v>
      </c>
      <c r="G755">
        <v>-123.30329999999999</v>
      </c>
      <c r="H755">
        <v>-8</v>
      </c>
      <c r="I755">
        <v>11</v>
      </c>
      <c r="J755" t="str">
        <f>HYPERLINK("https://climate.onebuilding.org/WMO_Region_4_North_and_Central_America/CAN_Canada/BC_British_Columbia/CAN_BC_Sandheads.CS.712090_TMYx.zip")</f>
        <v>https://climate.onebuilding.org/WMO_Region_4_North_and_Central_America/CAN_Canada/BC_British_Columbia/CAN_BC_Sandheads.CS.712090_TMYx.zip</v>
      </c>
    </row>
    <row r="756" spans="1:10" x14ac:dyDescent="0.25">
      <c r="A756" t="s">
        <v>6</v>
      </c>
      <c r="B756" t="s">
        <v>55</v>
      </c>
      <c r="C756" t="s">
        <v>398</v>
      </c>
      <c r="D756">
        <v>712110</v>
      </c>
      <c r="E756" t="s">
        <v>399</v>
      </c>
      <c r="F756">
        <v>49.4878</v>
      </c>
      <c r="G756">
        <v>-123.29940000000001</v>
      </c>
      <c r="H756">
        <v>-8</v>
      </c>
      <c r="I756">
        <v>4.9000000000000004</v>
      </c>
      <c r="J756" t="str">
        <f>HYPERLINK("https://climate.onebuilding.org/WMO_Region_4_North_and_Central_America/CAN_Canada/BC_British_Columbia/CAN_BC_Howe.Sound-Pam.Rocks.712110_TMYx.2004-2018.zip")</f>
        <v>https://climate.onebuilding.org/WMO_Region_4_North_and_Central_America/CAN_Canada/BC_British_Columbia/CAN_BC_Howe.Sound-Pam.Rocks.712110_TMYx.2004-2018.zip</v>
      </c>
    </row>
    <row r="757" spans="1:10" x14ac:dyDescent="0.25">
      <c r="A757" t="s">
        <v>6</v>
      </c>
      <c r="B757" t="s">
        <v>55</v>
      </c>
      <c r="C757" t="s">
        <v>398</v>
      </c>
      <c r="D757">
        <v>712110</v>
      </c>
      <c r="E757" t="s">
        <v>10</v>
      </c>
      <c r="F757">
        <v>49.4878</v>
      </c>
      <c r="G757">
        <v>-123.29940000000001</v>
      </c>
      <c r="H757">
        <v>-8</v>
      </c>
      <c r="I757">
        <v>4.9000000000000004</v>
      </c>
      <c r="J757" t="str">
        <f>HYPERLINK("https://climate.onebuilding.org/WMO_Region_4_North_and_Central_America/CAN_Canada/BC_British_Columbia/CAN_BC_Howe.Sound-Pam.Rocks.712110_TMYx.2007-2021.zip")</f>
        <v>https://climate.onebuilding.org/WMO_Region_4_North_and_Central_America/CAN_Canada/BC_British_Columbia/CAN_BC_Howe.Sound-Pam.Rocks.712110_TMYx.2007-2021.zip</v>
      </c>
    </row>
    <row r="758" spans="1:10" x14ac:dyDescent="0.25">
      <c r="A758" t="s">
        <v>6</v>
      </c>
      <c r="B758" t="s">
        <v>55</v>
      </c>
      <c r="C758" t="s">
        <v>398</v>
      </c>
      <c r="D758">
        <v>712110</v>
      </c>
      <c r="E758" t="s">
        <v>10</v>
      </c>
      <c r="F758">
        <v>49.4878</v>
      </c>
      <c r="G758">
        <v>-123.29940000000001</v>
      </c>
      <c r="H758">
        <v>-8</v>
      </c>
      <c r="I758">
        <v>4.9000000000000004</v>
      </c>
      <c r="J758" t="str">
        <f>HYPERLINK("https://climate.onebuilding.org/WMO_Region_4_North_and_Central_America/CAN_Canada/BC_British_Columbia/CAN_BC_Howe.Sound-Pam.Rocks.712110_TMYx.2009-2023.zip")</f>
        <v>https://climate.onebuilding.org/WMO_Region_4_North_and_Central_America/CAN_Canada/BC_British_Columbia/CAN_BC_Howe.Sound-Pam.Rocks.712110_TMYx.2009-2023.zip</v>
      </c>
    </row>
    <row r="759" spans="1:10" x14ac:dyDescent="0.25">
      <c r="A759" t="s">
        <v>6</v>
      </c>
      <c r="B759" t="s">
        <v>55</v>
      </c>
      <c r="C759" t="s">
        <v>398</v>
      </c>
      <c r="D759">
        <v>712110</v>
      </c>
      <c r="E759" t="s">
        <v>10</v>
      </c>
      <c r="F759">
        <v>49.4878</v>
      </c>
      <c r="G759">
        <v>-123.29940000000001</v>
      </c>
      <c r="H759">
        <v>-8</v>
      </c>
      <c r="I759">
        <v>4.9000000000000004</v>
      </c>
      <c r="J759" t="str">
        <f>HYPERLINK("https://climate.onebuilding.org/WMO_Region_4_North_and_Central_America/CAN_Canada/BC_British_Columbia/CAN_BC_Howe.Sound-Pam.Rocks.712110_TMYx.zip")</f>
        <v>https://climate.onebuilding.org/WMO_Region_4_North_and_Central_America/CAN_Canada/BC_British_Columbia/CAN_BC_Howe.Sound-Pam.Rocks.712110_TMYx.zip</v>
      </c>
    </row>
    <row r="760" spans="1:10" x14ac:dyDescent="0.25">
      <c r="A760" t="s">
        <v>6</v>
      </c>
      <c r="B760" t="s">
        <v>14</v>
      </c>
      <c r="C760" t="s">
        <v>400</v>
      </c>
      <c r="D760">
        <v>712120</v>
      </c>
      <c r="E760" t="s">
        <v>401</v>
      </c>
      <c r="F760">
        <v>47.317</v>
      </c>
      <c r="G760">
        <v>-71.132999999999996</v>
      </c>
      <c r="H760">
        <v>-5</v>
      </c>
      <c r="I760">
        <v>673</v>
      </c>
      <c r="J760" t="str">
        <f>HYPERLINK("https://climate.onebuilding.org/WMO_Region_4_North_and_Central_America/CAN_Canada/QC_Quebec/CAN_QC_Foret.Montmorency.RCS.712120_TMYx.2004-2018.zip")</f>
        <v>https://climate.onebuilding.org/WMO_Region_4_North_and_Central_America/CAN_Canada/QC_Quebec/CAN_QC_Foret.Montmorency.RCS.712120_TMYx.2004-2018.zip</v>
      </c>
    </row>
    <row r="761" spans="1:10" x14ac:dyDescent="0.25">
      <c r="A761" t="s">
        <v>6</v>
      </c>
      <c r="B761" t="s">
        <v>14</v>
      </c>
      <c r="C761" t="s">
        <v>400</v>
      </c>
      <c r="D761">
        <v>712120</v>
      </c>
      <c r="E761" t="s">
        <v>10</v>
      </c>
      <c r="F761">
        <v>47.322499999999998</v>
      </c>
      <c r="G761">
        <v>-71.148330000000001</v>
      </c>
      <c r="H761">
        <v>-5</v>
      </c>
      <c r="I761">
        <v>673</v>
      </c>
      <c r="J761" t="str">
        <f>HYPERLINK("https://climate.onebuilding.org/WMO_Region_4_North_and_Central_America/CAN_Canada/QC_Quebec/CAN_QC_Foret.Montmorency.RCS.712120_TMYx.2007-2021.zip")</f>
        <v>https://climate.onebuilding.org/WMO_Region_4_North_and_Central_America/CAN_Canada/QC_Quebec/CAN_QC_Foret.Montmorency.RCS.712120_TMYx.2007-2021.zip</v>
      </c>
    </row>
    <row r="762" spans="1:10" x14ac:dyDescent="0.25">
      <c r="A762" t="s">
        <v>6</v>
      </c>
      <c r="B762" t="s">
        <v>14</v>
      </c>
      <c r="C762" t="s">
        <v>400</v>
      </c>
      <c r="D762">
        <v>712120</v>
      </c>
      <c r="E762" t="s">
        <v>10</v>
      </c>
      <c r="F762">
        <v>47.322499999999998</v>
      </c>
      <c r="G762">
        <v>-71.148330000000001</v>
      </c>
      <c r="H762">
        <v>-5</v>
      </c>
      <c r="I762">
        <v>673</v>
      </c>
      <c r="J762" t="str">
        <f>HYPERLINK("https://climate.onebuilding.org/WMO_Region_4_North_and_Central_America/CAN_Canada/QC_Quebec/CAN_QC_Foret.Montmorency.RCS.712120_TMYx.2009-2023.zip")</f>
        <v>https://climate.onebuilding.org/WMO_Region_4_North_and_Central_America/CAN_Canada/QC_Quebec/CAN_QC_Foret.Montmorency.RCS.712120_TMYx.2009-2023.zip</v>
      </c>
    </row>
    <row r="763" spans="1:10" x14ac:dyDescent="0.25">
      <c r="A763" t="s">
        <v>6</v>
      </c>
      <c r="B763" t="s">
        <v>14</v>
      </c>
      <c r="C763" t="s">
        <v>400</v>
      </c>
      <c r="D763">
        <v>712120</v>
      </c>
      <c r="E763" t="s">
        <v>10</v>
      </c>
      <c r="F763">
        <v>47.322499999999998</v>
      </c>
      <c r="G763">
        <v>-71.148330000000001</v>
      </c>
      <c r="H763">
        <v>-5</v>
      </c>
      <c r="I763">
        <v>673</v>
      </c>
      <c r="J763" t="str">
        <f>HYPERLINK("https://climate.onebuilding.org/WMO_Region_4_North_and_Central_America/CAN_Canada/QC_Quebec/CAN_QC_Foret.Montmorency.RCS.712120_TMYx.zip")</f>
        <v>https://climate.onebuilding.org/WMO_Region_4_North_and_Central_America/CAN_Canada/QC_Quebec/CAN_QC_Foret.Montmorency.RCS.712120_TMYx.zip</v>
      </c>
    </row>
    <row r="764" spans="1:10" x14ac:dyDescent="0.25">
      <c r="A764" t="s">
        <v>6</v>
      </c>
      <c r="B764" t="s">
        <v>130</v>
      </c>
      <c r="C764" t="s">
        <v>402</v>
      </c>
      <c r="D764">
        <v>712130</v>
      </c>
      <c r="E764" t="s">
        <v>10</v>
      </c>
      <c r="F764">
        <v>47.683</v>
      </c>
      <c r="G764">
        <v>-79.832999999999998</v>
      </c>
      <c r="H764">
        <v>-5</v>
      </c>
      <c r="I764">
        <v>243.4</v>
      </c>
      <c r="J764" t="str">
        <f>HYPERLINK("https://climate.onebuilding.org/WMO_Region_4_North_and_Central_America/CAN_Canada/ON_Ontario/CAN_ON_Earlton.CS.712130_TMYx.2007-2021.zip")</f>
        <v>https://climate.onebuilding.org/WMO_Region_4_North_and_Central_America/CAN_Canada/ON_Ontario/CAN_ON_Earlton.CS.712130_TMYx.2007-2021.zip</v>
      </c>
    </row>
    <row r="765" spans="1:10" x14ac:dyDescent="0.25">
      <c r="A765" t="s">
        <v>6</v>
      </c>
      <c r="B765" t="s">
        <v>130</v>
      </c>
      <c r="C765" t="s">
        <v>402</v>
      </c>
      <c r="D765">
        <v>712130</v>
      </c>
      <c r="E765" t="s">
        <v>10</v>
      </c>
      <c r="F765">
        <v>47.683</v>
      </c>
      <c r="G765">
        <v>-79.832999999999998</v>
      </c>
      <c r="H765">
        <v>-5</v>
      </c>
      <c r="I765">
        <v>243.4</v>
      </c>
      <c r="J765" t="str">
        <f>HYPERLINK("https://climate.onebuilding.org/WMO_Region_4_North_and_Central_America/CAN_Canada/ON_Ontario/CAN_ON_Earlton.CS.712130_TMYx.2009-2023.zip")</f>
        <v>https://climate.onebuilding.org/WMO_Region_4_North_and_Central_America/CAN_Canada/ON_Ontario/CAN_ON_Earlton.CS.712130_TMYx.2009-2023.zip</v>
      </c>
    </row>
    <row r="766" spans="1:10" x14ac:dyDescent="0.25">
      <c r="A766" t="s">
        <v>6</v>
      </c>
      <c r="B766" t="s">
        <v>130</v>
      </c>
      <c r="C766" t="s">
        <v>402</v>
      </c>
      <c r="D766">
        <v>712130</v>
      </c>
      <c r="E766" t="s">
        <v>10</v>
      </c>
      <c r="F766">
        <v>47.683</v>
      </c>
      <c r="G766">
        <v>-79.832999999999998</v>
      </c>
      <c r="H766">
        <v>-5</v>
      </c>
      <c r="I766">
        <v>243.4</v>
      </c>
      <c r="J766" t="str">
        <f>HYPERLINK("https://climate.onebuilding.org/WMO_Region_4_North_and_Central_America/CAN_Canada/ON_Ontario/CAN_ON_Earlton.CS.712130_TMYx.zip")</f>
        <v>https://climate.onebuilding.org/WMO_Region_4_North_and_Central_America/CAN_Canada/ON_Ontario/CAN_ON_Earlton.CS.712130_TMYx.zip</v>
      </c>
    </row>
    <row r="767" spans="1:10" x14ac:dyDescent="0.25">
      <c r="A767" t="s">
        <v>6</v>
      </c>
      <c r="B767" t="s">
        <v>17</v>
      </c>
      <c r="C767" t="s">
        <v>403</v>
      </c>
      <c r="D767">
        <v>712140</v>
      </c>
      <c r="E767" t="s">
        <v>404</v>
      </c>
      <c r="F767">
        <v>52.124200000000002</v>
      </c>
      <c r="G767">
        <v>-110.1014</v>
      </c>
      <c r="H767">
        <v>-7</v>
      </c>
      <c r="I767">
        <v>687</v>
      </c>
      <c r="J767" t="str">
        <f>HYPERLINK("https://climate.onebuilding.org/WMO_Region_4_North_and_Central_America/CAN_Canada/AB_Alberta/CAN_AB_Bodo.AGDM.712140_TMYx.2004-2018.zip")</f>
        <v>https://climate.onebuilding.org/WMO_Region_4_North_and_Central_America/CAN_Canada/AB_Alberta/CAN_AB_Bodo.AGDM.712140_TMYx.2004-2018.zip</v>
      </c>
    </row>
    <row r="768" spans="1:10" x14ac:dyDescent="0.25">
      <c r="A768" t="s">
        <v>6</v>
      </c>
      <c r="B768" t="s">
        <v>17</v>
      </c>
      <c r="C768" t="s">
        <v>403</v>
      </c>
      <c r="D768">
        <v>712140</v>
      </c>
      <c r="E768" t="s">
        <v>10</v>
      </c>
      <c r="F768">
        <v>52.124200000000002</v>
      </c>
      <c r="G768">
        <v>-110.1014</v>
      </c>
      <c r="H768">
        <v>-7</v>
      </c>
      <c r="I768">
        <v>687</v>
      </c>
      <c r="J768" t="str">
        <f>HYPERLINK("https://climate.onebuilding.org/WMO_Region_4_North_and_Central_America/CAN_Canada/AB_Alberta/CAN_AB_Bodo.AGDM.712140_TMYx.2007-2021.zip")</f>
        <v>https://climate.onebuilding.org/WMO_Region_4_North_and_Central_America/CAN_Canada/AB_Alberta/CAN_AB_Bodo.AGDM.712140_TMYx.2007-2021.zip</v>
      </c>
    </row>
    <row r="769" spans="1:10" x14ac:dyDescent="0.25">
      <c r="A769" t="s">
        <v>6</v>
      </c>
      <c r="B769" t="s">
        <v>17</v>
      </c>
      <c r="C769" t="s">
        <v>403</v>
      </c>
      <c r="D769">
        <v>712140</v>
      </c>
      <c r="E769" t="s">
        <v>10</v>
      </c>
      <c r="F769">
        <v>52.124200000000002</v>
      </c>
      <c r="G769">
        <v>-110.1014</v>
      </c>
      <c r="H769">
        <v>-7</v>
      </c>
      <c r="I769">
        <v>687</v>
      </c>
      <c r="J769" t="str">
        <f>HYPERLINK("https://climate.onebuilding.org/WMO_Region_4_North_and_Central_America/CAN_Canada/AB_Alberta/CAN_AB_Bodo.AGDM.712140_TMYx.2009-2023.zip")</f>
        <v>https://climate.onebuilding.org/WMO_Region_4_North_and_Central_America/CAN_Canada/AB_Alberta/CAN_AB_Bodo.AGDM.712140_TMYx.2009-2023.zip</v>
      </c>
    </row>
    <row r="770" spans="1:10" x14ac:dyDescent="0.25">
      <c r="A770" t="s">
        <v>6</v>
      </c>
      <c r="B770" t="s">
        <v>17</v>
      </c>
      <c r="C770" t="s">
        <v>403</v>
      </c>
      <c r="D770">
        <v>712140</v>
      </c>
      <c r="E770" t="s">
        <v>10</v>
      </c>
      <c r="F770">
        <v>52.124200000000002</v>
      </c>
      <c r="G770">
        <v>-110.1014</v>
      </c>
      <c r="H770">
        <v>-7</v>
      </c>
      <c r="I770">
        <v>687</v>
      </c>
      <c r="J770" t="str">
        <f>HYPERLINK("https://climate.onebuilding.org/WMO_Region_4_North_and_Central_America/CAN_Canada/AB_Alberta/CAN_AB_Bodo.AGDM.712140_TMYx.zip")</f>
        <v>https://climate.onebuilding.org/WMO_Region_4_North_and_Central_America/CAN_Canada/AB_Alberta/CAN_AB_Bodo.AGDM.712140_TMYx.zip</v>
      </c>
    </row>
    <row r="771" spans="1:10" x14ac:dyDescent="0.25">
      <c r="A771" t="s">
        <v>6</v>
      </c>
      <c r="B771" t="s">
        <v>55</v>
      </c>
      <c r="C771" t="s">
        <v>405</v>
      </c>
      <c r="D771">
        <v>712150</v>
      </c>
      <c r="E771" t="s">
        <v>406</v>
      </c>
      <c r="F771">
        <v>49.028300000000002</v>
      </c>
      <c r="G771">
        <v>-119.44110000000001</v>
      </c>
      <c r="H771">
        <v>-8</v>
      </c>
      <c r="I771">
        <v>285.3</v>
      </c>
      <c r="J771" t="str">
        <f>HYPERLINK("https://climate.onebuilding.org/WMO_Region_4_North_and_Central_America/CAN_Canada/BC_British_Columbia/CAN_BC_Osoyoos.712150_TMYx.2004-2018.zip")</f>
        <v>https://climate.onebuilding.org/WMO_Region_4_North_and_Central_America/CAN_Canada/BC_British_Columbia/CAN_BC_Osoyoos.712150_TMYx.2004-2018.zip</v>
      </c>
    </row>
    <row r="772" spans="1:10" x14ac:dyDescent="0.25">
      <c r="A772" t="s">
        <v>6</v>
      </c>
      <c r="B772" t="s">
        <v>55</v>
      </c>
      <c r="C772" t="s">
        <v>405</v>
      </c>
      <c r="D772">
        <v>712150</v>
      </c>
      <c r="E772" t="s">
        <v>10</v>
      </c>
      <c r="F772">
        <v>49.028300000000002</v>
      </c>
      <c r="G772">
        <v>-119.44110000000001</v>
      </c>
      <c r="H772">
        <v>-8</v>
      </c>
      <c r="I772">
        <v>285.3</v>
      </c>
      <c r="J772" t="str">
        <f>HYPERLINK("https://climate.onebuilding.org/WMO_Region_4_North_and_Central_America/CAN_Canada/BC_British_Columbia/CAN_BC_Osoyoos.712150_TMYx.2007-2021.zip")</f>
        <v>https://climate.onebuilding.org/WMO_Region_4_North_and_Central_America/CAN_Canada/BC_British_Columbia/CAN_BC_Osoyoos.712150_TMYx.2007-2021.zip</v>
      </c>
    </row>
    <row r="773" spans="1:10" x14ac:dyDescent="0.25">
      <c r="A773" t="s">
        <v>6</v>
      </c>
      <c r="B773" t="s">
        <v>55</v>
      </c>
      <c r="C773" t="s">
        <v>405</v>
      </c>
      <c r="D773">
        <v>712150</v>
      </c>
      <c r="E773" t="s">
        <v>10</v>
      </c>
      <c r="F773">
        <v>49.028300000000002</v>
      </c>
      <c r="G773">
        <v>-119.44110000000001</v>
      </c>
      <c r="H773">
        <v>-8</v>
      </c>
      <c r="I773">
        <v>285.3</v>
      </c>
      <c r="J773" t="str">
        <f>HYPERLINK("https://climate.onebuilding.org/WMO_Region_4_North_and_Central_America/CAN_Canada/BC_British_Columbia/CAN_BC_Osoyoos.712150_TMYx.2009-2023.zip")</f>
        <v>https://climate.onebuilding.org/WMO_Region_4_North_and_Central_America/CAN_Canada/BC_British_Columbia/CAN_BC_Osoyoos.712150_TMYx.2009-2023.zip</v>
      </c>
    </row>
    <row r="774" spans="1:10" x14ac:dyDescent="0.25">
      <c r="A774" t="s">
        <v>6</v>
      </c>
      <c r="B774" t="s">
        <v>55</v>
      </c>
      <c r="C774" t="s">
        <v>405</v>
      </c>
      <c r="D774">
        <v>712150</v>
      </c>
      <c r="E774" t="s">
        <v>10</v>
      </c>
      <c r="F774">
        <v>49.028300000000002</v>
      </c>
      <c r="G774">
        <v>-119.44110000000001</v>
      </c>
      <c r="H774">
        <v>-8</v>
      </c>
      <c r="I774">
        <v>285.3</v>
      </c>
      <c r="J774" t="str">
        <f>HYPERLINK("https://climate.onebuilding.org/WMO_Region_4_North_and_Central_America/CAN_Canada/BC_British_Columbia/CAN_BC_Osoyoos.712150_TMYx.zip")</f>
        <v>https://climate.onebuilding.org/WMO_Region_4_North_and_Central_America/CAN_Canada/BC_British_Columbia/CAN_BC_Osoyoos.712150_TMYx.zip</v>
      </c>
    </row>
    <row r="775" spans="1:10" x14ac:dyDescent="0.25">
      <c r="A775" t="s">
        <v>6</v>
      </c>
      <c r="B775" t="s">
        <v>55</v>
      </c>
      <c r="C775" t="s">
        <v>407</v>
      </c>
      <c r="D775">
        <v>712160</v>
      </c>
      <c r="E775" t="s">
        <v>408</v>
      </c>
      <c r="F775">
        <v>50.269399999999997</v>
      </c>
      <c r="G775">
        <v>-117.8172</v>
      </c>
      <c r="H775">
        <v>-8</v>
      </c>
      <c r="I775">
        <v>512.1</v>
      </c>
      <c r="J775" t="str">
        <f>HYPERLINK("https://climate.onebuilding.org/WMO_Region_4_North_and_Central_America/CAN_Canada/BC_British_Columbia/CAN_BC_Nakusp.AP.CS.712160_TMYx.2004-2018.zip")</f>
        <v>https://climate.onebuilding.org/WMO_Region_4_North_and_Central_America/CAN_Canada/BC_British_Columbia/CAN_BC_Nakusp.AP.CS.712160_TMYx.2004-2018.zip</v>
      </c>
    </row>
    <row r="776" spans="1:10" x14ac:dyDescent="0.25">
      <c r="A776" t="s">
        <v>6</v>
      </c>
      <c r="B776" t="s">
        <v>55</v>
      </c>
      <c r="C776" t="s">
        <v>407</v>
      </c>
      <c r="D776">
        <v>712160</v>
      </c>
      <c r="E776" t="s">
        <v>10</v>
      </c>
      <c r="F776">
        <v>50.269399999999997</v>
      </c>
      <c r="G776">
        <v>-117.8172</v>
      </c>
      <c r="H776">
        <v>-8</v>
      </c>
      <c r="I776">
        <v>512.1</v>
      </c>
      <c r="J776" t="str">
        <f>HYPERLINK("https://climate.onebuilding.org/WMO_Region_4_North_and_Central_America/CAN_Canada/BC_British_Columbia/CAN_BC_Nakusp.AP.CS.712160_TMYx.2007-2021.zip")</f>
        <v>https://climate.onebuilding.org/WMO_Region_4_North_and_Central_America/CAN_Canada/BC_British_Columbia/CAN_BC_Nakusp.AP.CS.712160_TMYx.2007-2021.zip</v>
      </c>
    </row>
    <row r="777" spans="1:10" x14ac:dyDescent="0.25">
      <c r="A777" t="s">
        <v>6</v>
      </c>
      <c r="B777" t="s">
        <v>55</v>
      </c>
      <c r="C777" t="s">
        <v>407</v>
      </c>
      <c r="D777">
        <v>712160</v>
      </c>
      <c r="E777" t="s">
        <v>10</v>
      </c>
      <c r="F777">
        <v>50.269399999999997</v>
      </c>
      <c r="G777">
        <v>-117.8172</v>
      </c>
      <c r="H777">
        <v>-8</v>
      </c>
      <c r="I777">
        <v>512.1</v>
      </c>
      <c r="J777" t="str">
        <f>HYPERLINK("https://climate.onebuilding.org/WMO_Region_4_North_and_Central_America/CAN_Canada/BC_British_Columbia/CAN_BC_Nakusp.AP.CS.712160_TMYx.2009-2023.zip")</f>
        <v>https://climate.onebuilding.org/WMO_Region_4_North_and_Central_America/CAN_Canada/BC_British_Columbia/CAN_BC_Nakusp.AP.CS.712160_TMYx.2009-2023.zip</v>
      </c>
    </row>
    <row r="778" spans="1:10" x14ac:dyDescent="0.25">
      <c r="A778" t="s">
        <v>6</v>
      </c>
      <c r="B778" t="s">
        <v>55</v>
      </c>
      <c r="C778" t="s">
        <v>407</v>
      </c>
      <c r="D778">
        <v>712160</v>
      </c>
      <c r="E778" t="s">
        <v>10</v>
      </c>
      <c r="F778">
        <v>50.269399999999997</v>
      </c>
      <c r="G778">
        <v>-117.8172</v>
      </c>
      <c r="H778">
        <v>-8</v>
      </c>
      <c r="I778">
        <v>512.1</v>
      </c>
      <c r="J778" t="str">
        <f>HYPERLINK("https://climate.onebuilding.org/WMO_Region_4_North_and_Central_America/CAN_Canada/BC_British_Columbia/CAN_BC_Nakusp.AP.CS.712160_TMYx.zip")</f>
        <v>https://climate.onebuilding.org/WMO_Region_4_North_and_Central_America/CAN_Canada/BC_British_Columbia/CAN_BC_Nakusp.AP.CS.712160_TMYx.zip</v>
      </c>
    </row>
    <row r="779" spans="1:10" x14ac:dyDescent="0.25">
      <c r="A779" t="s">
        <v>6</v>
      </c>
      <c r="B779" t="s">
        <v>17</v>
      </c>
      <c r="C779" t="s">
        <v>409</v>
      </c>
      <c r="D779">
        <v>712170</v>
      </c>
      <c r="E779" t="s">
        <v>410</v>
      </c>
      <c r="F779">
        <v>50.267000000000003</v>
      </c>
      <c r="G779">
        <v>-113.35</v>
      </c>
      <c r="H779">
        <v>-7</v>
      </c>
      <c r="I779">
        <v>1006</v>
      </c>
      <c r="J779" t="str">
        <f>HYPERLINK("https://climate.onebuilding.org/WMO_Region_4_North_and_Central_America/CAN_Canada/AB_Alberta/CAN_AB_Champion.AgDM.712170_TMYx.2004-2018.zip")</f>
        <v>https://climate.onebuilding.org/WMO_Region_4_North_and_Central_America/CAN_Canada/AB_Alberta/CAN_AB_Champion.AgDM.712170_TMYx.2004-2018.zip</v>
      </c>
    </row>
    <row r="780" spans="1:10" x14ac:dyDescent="0.25">
      <c r="A780" t="s">
        <v>6</v>
      </c>
      <c r="B780" t="s">
        <v>17</v>
      </c>
      <c r="C780" t="s">
        <v>409</v>
      </c>
      <c r="D780">
        <v>712170</v>
      </c>
      <c r="E780" t="s">
        <v>10</v>
      </c>
      <c r="F780">
        <v>50.295299999999997</v>
      </c>
      <c r="G780">
        <v>-113.3467</v>
      </c>
      <c r="H780">
        <v>-7</v>
      </c>
      <c r="I780">
        <v>1006</v>
      </c>
      <c r="J780" t="str">
        <f>HYPERLINK("https://climate.onebuilding.org/WMO_Region_4_North_and_Central_America/CAN_Canada/AB_Alberta/CAN_AB_Champion.AgDM.712170_TMYx.2007-2021.zip")</f>
        <v>https://climate.onebuilding.org/WMO_Region_4_North_and_Central_America/CAN_Canada/AB_Alberta/CAN_AB_Champion.AgDM.712170_TMYx.2007-2021.zip</v>
      </c>
    </row>
    <row r="781" spans="1:10" x14ac:dyDescent="0.25">
      <c r="A781" t="s">
        <v>6</v>
      </c>
      <c r="B781" t="s">
        <v>17</v>
      </c>
      <c r="C781" t="s">
        <v>409</v>
      </c>
      <c r="D781">
        <v>712170</v>
      </c>
      <c r="E781" t="s">
        <v>10</v>
      </c>
      <c r="F781">
        <v>50.295299999999997</v>
      </c>
      <c r="G781">
        <v>-113.3467</v>
      </c>
      <c r="H781">
        <v>-7</v>
      </c>
      <c r="I781">
        <v>1006</v>
      </c>
      <c r="J781" t="str">
        <f>HYPERLINK("https://climate.onebuilding.org/WMO_Region_4_North_and_Central_America/CAN_Canada/AB_Alberta/CAN_AB_Champion.AgDM.712170_TMYx.2009-2023.zip")</f>
        <v>https://climate.onebuilding.org/WMO_Region_4_North_and_Central_America/CAN_Canada/AB_Alberta/CAN_AB_Champion.AgDM.712170_TMYx.2009-2023.zip</v>
      </c>
    </row>
    <row r="782" spans="1:10" x14ac:dyDescent="0.25">
      <c r="A782" t="s">
        <v>6</v>
      </c>
      <c r="B782" t="s">
        <v>17</v>
      </c>
      <c r="C782" t="s">
        <v>409</v>
      </c>
      <c r="D782">
        <v>712170</v>
      </c>
      <c r="E782" t="s">
        <v>10</v>
      </c>
      <c r="F782">
        <v>50.295299999999997</v>
      </c>
      <c r="G782">
        <v>-113.3467</v>
      </c>
      <c r="H782">
        <v>-7</v>
      </c>
      <c r="I782">
        <v>1006</v>
      </c>
      <c r="J782" t="str">
        <f>HYPERLINK("https://climate.onebuilding.org/WMO_Region_4_North_and_Central_America/CAN_Canada/AB_Alberta/CAN_AB_Champion.AgDM.712170_TMYx.zip")</f>
        <v>https://climate.onebuilding.org/WMO_Region_4_North_and_Central_America/CAN_Canada/AB_Alberta/CAN_AB_Champion.AgDM.712170_TMYx.zip</v>
      </c>
    </row>
    <row r="783" spans="1:10" x14ac:dyDescent="0.25">
      <c r="A783" t="s">
        <v>6</v>
      </c>
      <c r="B783" t="s">
        <v>55</v>
      </c>
      <c r="C783" t="s">
        <v>411</v>
      </c>
      <c r="D783">
        <v>712180</v>
      </c>
      <c r="E783" t="s">
        <v>412</v>
      </c>
      <c r="F783">
        <v>50.703099999999999</v>
      </c>
      <c r="G783">
        <v>-119.2906</v>
      </c>
      <c r="H783">
        <v>-8</v>
      </c>
      <c r="I783">
        <v>350.5</v>
      </c>
      <c r="J783" t="str">
        <f>HYPERLINK("https://climate.onebuilding.org/WMO_Region_4_North_and_Central_America/CAN_Canada/BC_British_Columbia/CAN_BC_Salmon.Arm.CS.712180_TMYx.2004-2018.zip")</f>
        <v>https://climate.onebuilding.org/WMO_Region_4_North_and_Central_America/CAN_Canada/BC_British_Columbia/CAN_BC_Salmon.Arm.CS.712180_TMYx.2004-2018.zip</v>
      </c>
    </row>
    <row r="784" spans="1:10" x14ac:dyDescent="0.25">
      <c r="A784" t="s">
        <v>6</v>
      </c>
      <c r="B784" t="s">
        <v>55</v>
      </c>
      <c r="C784" t="s">
        <v>411</v>
      </c>
      <c r="D784">
        <v>712180</v>
      </c>
      <c r="E784" t="s">
        <v>10</v>
      </c>
      <c r="F784">
        <v>50.703099999999999</v>
      </c>
      <c r="G784">
        <v>-119.2906</v>
      </c>
      <c r="H784">
        <v>-8</v>
      </c>
      <c r="I784">
        <v>350.5</v>
      </c>
      <c r="J784" t="str">
        <f>HYPERLINK("https://climate.onebuilding.org/WMO_Region_4_North_and_Central_America/CAN_Canada/BC_British_Columbia/CAN_BC_Salmon.Arm.CS.712180_TMYx.2007-2021.zip")</f>
        <v>https://climate.onebuilding.org/WMO_Region_4_North_and_Central_America/CAN_Canada/BC_British_Columbia/CAN_BC_Salmon.Arm.CS.712180_TMYx.2007-2021.zip</v>
      </c>
    </row>
    <row r="785" spans="1:10" x14ac:dyDescent="0.25">
      <c r="A785" t="s">
        <v>6</v>
      </c>
      <c r="B785" t="s">
        <v>55</v>
      </c>
      <c r="C785" t="s">
        <v>411</v>
      </c>
      <c r="D785">
        <v>712180</v>
      </c>
      <c r="E785" t="s">
        <v>10</v>
      </c>
      <c r="F785">
        <v>50.703099999999999</v>
      </c>
      <c r="G785">
        <v>-119.2906</v>
      </c>
      <c r="H785">
        <v>-8</v>
      </c>
      <c r="I785">
        <v>350.5</v>
      </c>
      <c r="J785" t="str">
        <f>HYPERLINK("https://climate.onebuilding.org/WMO_Region_4_North_and_Central_America/CAN_Canada/BC_British_Columbia/CAN_BC_Salmon.Arm.CS.712180_TMYx.2009-2023.zip")</f>
        <v>https://climate.onebuilding.org/WMO_Region_4_North_and_Central_America/CAN_Canada/BC_British_Columbia/CAN_BC_Salmon.Arm.CS.712180_TMYx.2009-2023.zip</v>
      </c>
    </row>
    <row r="786" spans="1:10" x14ac:dyDescent="0.25">
      <c r="A786" t="s">
        <v>6</v>
      </c>
      <c r="B786" t="s">
        <v>55</v>
      </c>
      <c r="C786" t="s">
        <v>411</v>
      </c>
      <c r="D786">
        <v>712180</v>
      </c>
      <c r="E786" t="s">
        <v>10</v>
      </c>
      <c r="F786">
        <v>50.703099999999999</v>
      </c>
      <c r="G786">
        <v>-119.2906</v>
      </c>
      <c r="H786">
        <v>-8</v>
      </c>
      <c r="I786">
        <v>350.5</v>
      </c>
      <c r="J786" t="str">
        <f>HYPERLINK("https://climate.onebuilding.org/WMO_Region_4_North_and_Central_America/CAN_Canada/BC_British_Columbia/CAN_BC_Salmon.Arm.CS.712180_TMYx.zip")</f>
        <v>https://climate.onebuilding.org/WMO_Region_4_North_and_Central_America/CAN_Canada/BC_British_Columbia/CAN_BC_Salmon.Arm.CS.712180_TMYx.zip</v>
      </c>
    </row>
    <row r="787" spans="1:10" x14ac:dyDescent="0.25">
      <c r="A787" t="s">
        <v>6</v>
      </c>
      <c r="B787" t="s">
        <v>55</v>
      </c>
      <c r="C787" t="s">
        <v>413</v>
      </c>
      <c r="D787">
        <v>712190</v>
      </c>
      <c r="E787" t="s">
        <v>414</v>
      </c>
      <c r="F787">
        <v>54.172199999999997</v>
      </c>
      <c r="G787">
        <v>-130.36080000000001</v>
      </c>
      <c r="H787">
        <v>-8</v>
      </c>
      <c r="I787">
        <v>6.5</v>
      </c>
      <c r="J787" t="str">
        <f>HYPERLINK("https://climate.onebuilding.org/WMO_Region_4_North_and_Central_America/CAN_Canada/BC_British_Columbia/CAN_BC_Holland.Rock.712190_TMYx.2004-2018.zip")</f>
        <v>https://climate.onebuilding.org/WMO_Region_4_North_and_Central_America/CAN_Canada/BC_British_Columbia/CAN_BC_Holland.Rock.712190_TMYx.2004-2018.zip</v>
      </c>
    </row>
    <row r="788" spans="1:10" x14ac:dyDescent="0.25">
      <c r="A788" t="s">
        <v>6</v>
      </c>
      <c r="B788" t="s">
        <v>55</v>
      </c>
      <c r="C788" t="s">
        <v>413</v>
      </c>
      <c r="D788">
        <v>712190</v>
      </c>
      <c r="E788" t="s">
        <v>10</v>
      </c>
      <c r="F788">
        <v>54.172199999999997</v>
      </c>
      <c r="G788">
        <v>-130.36080000000001</v>
      </c>
      <c r="H788">
        <v>-8</v>
      </c>
      <c r="I788">
        <v>6.5</v>
      </c>
      <c r="J788" t="str">
        <f>HYPERLINK("https://climate.onebuilding.org/WMO_Region_4_North_and_Central_America/CAN_Canada/BC_British_Columbia/CAN_BC_Holland.Rock.712190_TMYx.2007-2021.zip")</f>
        <v>https://climate.onebuilding.org/WMO_Region_4_North_and_Central_America/CAN_Canada/BC_British_Columbia/CAN_BC_Holland.Rock.712190_TMYx.2007-2021.zip</v>
      </c>
    </row>
    <row r="789" spans="1:10" x14ac:dyDescent="0.25">
      <c r="A789" t="s">
        <v>6</v>
      </c>
      <c r="B789" t="s">
        <v>55</v>
      </c>
      <c r="C789" t="s">
        <v>413</v>
      </c>
      <c r="D789">
        <v>712190</v>
      </c>
      <c r="E789" t="s">
        <v>10</v>
      </c>
      <c r="F789">
        <v>54.172199999999997</v>
      </c>
      <c r="G789">
        <v>-130.36080000000001</v>
      </c>
      <c r="H789">
        <v>-8</v>
      </c>
      <c r="I789">
        <v>6.5</v>
      </c>
      <c r="J789" t="str">
        <f>HYPERLINK("https://climate.onebuilding.org/WMO_Region_4_North_and_Central_America/CAN_Canada/BC_British_Columbia/CAN_BC_Holland.Rock.712190_TMYx.2009-2023.zip")</f>
        <v>https://climate.onebuilding.org/WMO_Region_4_North_and_Central_America/CAN_Canada/BC_British_Columbia/CAN_BC_Holland.Rock.712190_TMYx.2009-2023.zip</v>
      </c>
    </row>
    <row r="790" spans="1:10" x14ac:dyDescent="0.25">
      <c r="A790" t="s">
        <v>6</v>
      </c>
      <c r="B790" t="s">
        <v>55</v>
      </c>
      <c r="C790" t="s">
        <v>413</v>
      </c>
      <c r="D790">
        <v>712190</v>
      </c>
      <c r="E790" t="s">
        <v>10</v>
      </c>
      <c r="F790">
        <v>54.172199999999997</v>
      </c>
      <c r="G790">
        <v>-130.36080000000001</v>
      </c>
      <c r="H790">
        <v>-8</v>
      </c>
      <c r="I790">
        <v>6.5</v>
      </c>
      <c r="J790" t="str">
        <f>HYPERLINK("https://climate.onebuilding.org/WMO_Region_4_North_and_Central_America/CAN_Canada/BC_British_Columbia/CAN_BC_Holland.Rock.712190_TMYx.zip")</f>
        <v>https://climate.onebuilding.org/WMO_Region_4_North_and_Central_America/CAN_Canada/BC_British_Columbia/CAN_BC_Holland.Rock.712190_TMYx.zip</v>
      </c>
    </row>
    <row r="791" spans="1:10" x14ac:dyDescent="0.25">
      <c r="A791" t="s">
        <v>6</v>
      </c>
      <c r="B791" t="s">
        <v>55</v>
      </c>
      <c r="C791" t="s">
        <v>415</v>
      </c>
      <c r="D791">
        <v>712200</v>
      </c>
      <c r="E791" t="s">
        <v>416</v>
      </c>
      <c r="F791">
        <v>54.35</v>
      </c>
      <c r="G791">
        <v>-130.71700000000001</v>
      </c>
      <c r="H791">
        <v>-8</v>
      </c>
      <c r="I791">
        <v>26</v>
      </c>
      <c r="J791" t="str">
        <f>HYPERLINK("https://climate.onebuilding.org/WMO_Region_4_North_and_Central_America/CAN_Canada/BC_British_Columbia/CAN_BC_Lucy.Islands.Lighthouse.712200_TMYx.2004-2018.zip")</f>
        <v>https://climate.onebuilding.org/WMO_Region_4_North_and_Central_America/CAN_Canada/BC_British_Columbia/CAN_BC_Lucy.Islands.Lighthouse.712200_TMYx.2004-2018.zip</v>
      </c>
    </row>
    <row r="792" spans="1:10" x14ac:dyDescent="0.25">
      <c r="A792" t="s">
        <v>6</v>
      </c>
      <c r="B792" t="s">
        <v>55</v>
      </c>
      <c r="C792" t="s">
        <v>415</v>
      </c>
      <c r="D792">
        <v>712200</v>
      </c>
      <c r="E792" t="s">
        <v>10</v>
      </c>
      <c r="F792">
        <v>54.295830000000002</v>
      </c>
      <c r="G792">
        <v>-130.60890000000001</v>
      </c>
      <c r="H792">
        <v>-8</v>
      </c>
      <c r="I792">
        <v>26</v>
      </c>
      <c r="J792" t="str">
        <f>HYPERLINK("https://climate.onebuilding.org/WMO_Region_4_North_and_Central_America/CAN_Canada/BC_British_Columbia/CAN_BC_Lucy.Islands.Lighthouse.712200_TMYx.2007-2021.zip")</f>
        <v>https://climate.onebuilding.org/WMO_Region_4_North_and_Central_America/CAN_Canada/BC_British_Columbia/CAN_BC_Lucy.Islands.Lighthouse.712200_TMYx.2007-2021.zip</v>
      </c>
    </row>
    <row r="793" spans="1:10" x14ac:dyDescent="0.25">
      <c r="A793" t="s">
        <v>6</v>
      </c>
      <c r="B793" t="s">
        <v>55</v>
      </c>
      <c r="C793" t="s">
        <v>415</v>
      </c>
      <c r="D793">
        <v>712200</v>
      </c>
      <c r="E793" t="s">
        <v>10</v>
      </c>
      <c r="F793">
        <v>54.295830000000002</v>
      </c>
      <c r="G793">
        <v>-130.60890000000001</v>
      </c>
      <c r="H793">
        <v>-8</v>
      </c>
      <c r="I793">
        <v>26</v>
      </c>
      <c r="J793" t="str">
        <f>HYPERLINK("https://climate.onebuilding.org/WMO_Region_4_North_and_Central_America/CAN_Canada/BC_British_Columbia/CAN_BC_Lucy.Islands.Lighthouse.712200_TMYx.2009-2023.zip")</f>
        <v>https://climate.onebuilding.org/WMO_Region_4_North_and_Central_America/CAN_Canada/BC_British_Columbia/CAN_BC_Lucy.Islands.Lighthouse.712200_TMYx.2009-2023.zip</v>
      </c>
    </row>
    <row r="794" spans="1:10" x14ac:dyDescent="0.25">
      <c r="A794" t="s">
        <v>6</v>
      </c>
      <c r="B794" t="s">
        <v>55</v>
      </c>
      <c r="C794" t="s">
        <v>415</v>
      </c>
      <c r="D794">
        <v>712200</v>
      </c>
      <c r="E794" t="s">
        <v>10</v>
      </c>
      <c r="F794">
        <v>54.295830000000002</v>
      </c>
      <c r="G794">
        <v>-130.60890000000001</v>
      </c>
      <c r="H794">
        <v>-8</v>
      </c>
      <c r="I794">
        <v>26</v>
      </c>
      <c r="J794" t="str">
        <f>HYPERLINK("https://climate.onebuilding.org/WMO_Region_4_North_and_Central_America/CAN_Canada/BC_British_Columbia/CAN_BC_Lucy.Islands.Lighthouse.712200_TMYx.zip")</f>
        <v>https://climate.onebuilding.org/WMO_Region_4_North_and_Central_America/CAN_Canada/BC_British_Columbia/CAN_BC_Lucy.Islands.Lighthouse.712200_TMYx.zip</v>
      </c>
    </row>
    <row r="795" spans="1:10" x14ac:dyDescent="0.25">
      <c r="A795" t="s">
        <v>6</v>
      </c>
      <c r="B795" t="s">
        <v>17</v>
      </c>
      <c r="C795" t="s">
        <v>417</v>
      </c>
      <c r="D795">
        <v>712210</v>
      </c>
      <c r="E795" t="s">
        <v>418</v>
      </c>
      <c r="F795">
        <v>56.3</v>
      </c>
      <c r="G795">
        <v>-119.733</v>
      </c>
      <c r="H795">
        <v>-7</v>
      </c>
      <c r="I795">
        <v>630</v>
      </c>
      <c r="J795" t="str">
        <f>HYPERLINK("https://climate.onebuilding.org/WMO_Region_4_North_and_Central_America/CAN_Canada/AB_Alberta/CAN_AB_Cleardale.AgDM.712210_TMYx.2004-2018.zip")</f>
        <v>https://climate.onebuilding.org/WMO_Region_4_North_and_Central_America/CAN_Canada/AB_Alberta/CAN_AB_Cleardale.AgDM.712210_TMYx.2004-2018.zip</v>
      </c>
    </row>
    <row r="796" spans="1:10" x14ac:dyDescent="0.25">
      <c r="A796" t="s">
        <v>6</v>
      </c>
      <c r="B796" t="s">
        <v>17</v>
      </c>
      <c r="C796" t="s">
        <v>417</v>
      </c>
      <c r="D796">
        <v>712210</v>
      </c>
      <c r="E796" t="s">
        <v>10</v>
      </c>
      <c r="F796">
        <v>56.314450000000001</v>
      </c>
      <c r="G796">
        <v>-119.745</v>
      </c>
      <c r="H796">
        <v>-7</v>
      </c>
      <c r="I796">
        <v>630</v>
      </c>
      <c r="J796" t="str">
        <f>HYPERLINK("https://climate.onebuilding.org/WMO_Region_4_North_and_Central_America/CAN_Canada/AB_Alberta/CAN_AB_Cleardale.AgDM.712210_TMYx.2007-2021.zip")</f>
        <v>https://climate.onebuilding.org/WMO_Region_4_North_and_Central_America/CAN_Canada/AB_Alberta/CAN_AB_Cleardale.AgDM.712210_TMYx.2007-2021.zip</v>
      </c>
    </row>
    <row r="797" spans="1:10" x14ac:dyDescent="0.25">
      <c r="A797" t="s">
        <v>6</v>
      </c>
      <c r="B797" t="s">
        <v>17</v>
      </c>
      <c r="C797" t="s">
        <v>417</v>
      </c>
      <c r="D797">
        <v>712210</v>
      </c>
      <c r="E797" t="s">
        <v>10</v>
      </c>
      <c r="F797">
        <v>56.314450000000001</v>
      </c>
      <c r="G797">
        <v>-119.745</v>
      </c>
      <c r="H797">
        <v>-7</v>
      </c>
      <c r="I797">
        <v>630</v>
      </c>
      <c r="J797" t="str">
        <f>HYPERLINK("https://climate.onebuilding.org/WMO_Region_4_North_and_Central_America/CAN_Canada/AB_Alberta/CAN_AB_Cleardale.AgDM.712210_TMYx.2009-2023.zip")</f>
        <v>https://climate.onebuilding.org/WMO_Region_4_North_and_Central_America/CAN_Canada/AB_Alberta/CAN_AB_Cleardale.AgDM.712210_TMYx.2009-2023.zip</v>
      </c>
    </row>
    <row r="798" spans="1:10" x14ac:dyDescent="0.25">
      <c r="A798" t="s">
        <v>6</v>
      </c>
      <c r="B798" t="s">
        <v>17</v>
      </c>
      <c r="C798" t="s">
        <v>417</v>
      </c>
      <c r="D798">
        <v>712210</v>
      </c>
      <c r="E798" t="s">
        <v>10</v>
      </c>
      <c r="F798">
        <v>56.314450000000001</v>
      </c>
      <c r="G798">
        <v>-119.745</v>
      </c>
      <c r="H798">
        <v>-7</v>
      </c>
      <c r="I798">
        <v>630</v>
      </c>
      <c r="J798" t="str">
        <f>HYPERLINK("https://climate.onebuilding.org/WMO_Region_4_North_and_Central_America/CAN_Canada/AB_Alberta/CAN_AB_Cleardale.AgDM.712210_TMYx.zip")</f>
        <v>https://climate.onebuilding.org/WMO_Region_4_North_and_Central_America/CAN_Canada/AB_Alberta/CAN_AB_Cleardale.AgDM.712210_TMYx.zip</v>
      </c>
    </row>
    <row r="799" spans="1:10" x14ac:dyDescent="0.25">
      <c r="A799" t="s">
        <v>6</v>
      </c>
      <c r="B799" t="s">
        <v>55</v>
      </c>
      <c r="C799" t="s">
        <v>419</v>
      </c>
      <c r="D799">
        <v>712220</v>
      </c>
      <c r="E799" t="s">
        <v>420</v>
      </c>
      <c r="F799">
        <v>58.425800000000002</v>
      </c>
      <c r="G799">
        <v>-130.0256</v>
      </c>
      <c r="H799">
        <v>-8</v>
      </c>
      <c r="I799">
        <v>801.9</v>
      </c>
      <c r="J799" t="str">
        <f>HYPERLINK("https://climate.onebuilding.org/WMO_Region_4_North_and_Central_America/CAN_Canada/BC_British_Columbia/CAN_BC_Dease.Lake.AP.712220_TMYx.2004-2018.zip")</f>
        <v>https://climate.onebuilding.org/WMO_Region_4_North_and_Central_America/CAN_Canada/BC_British_Columbia/CAN_BC_Dease.Lake.AP.712220_TMYx.2004-2018.zip</v>
      </c>
    </row>
    <row r="800" spans="1:10" x14ac:dyDescent="0.25">
      <c r="A800" t="s">
        <v>6</v>
      </c>
      <c r="B800" t="s">
        <v>55</v>
      </c>
      <c r="C800" t="s">
        <v>419</v>
      </c>
      <c r="D800">
        <v>712220</v>
      </c>
      <c r="E800" t="s">
        <v>10</v>
      </c>
      <c r="F800">
        <v>58.416670000000003</v>
      </c>
      <c r="G800">
        <v>-130.01669999999999</v>
      </c>
      <c r="H800">
        <v>-8</v>
      </c>
      <c r="I800">
        <v>801.9</v>
      </c>
      <c r="J800" t="str">
        <f>HYPERLINK("https://climate.onebuilding.org/WMO_Region_4_North_and_Central_America/CAN_Canada/BC_British_Columbia/CAN_BC_Dease.Lake.AP.712220_TMYx.2007-2021.zip")</f>
        <v>https://climate.onebuilding.org/WMO_Region_4_North_and_Central_America/CAN_Canada/BC_British_Columbia/CAN_BC_Dease.Lake.AP.712220_TMYx.2007-2021.zip</v>
      </c>
    </row>
    <row r="801" spans="1:10" x14ac:dyDescent="0.25">
      <c r="A801" t="s">
        <v>6</v>
      </c>
      <c r="B801" t="s">
        <v>55</v>
      </c>
      <c r="C801" t="s">
        <v>419</v>
      </c>
      <c r="D801">
        <v>712220</v>
      </c>
      <c r="E801" t="s">
        <v>10</v>
      </c>
      <c r="F801">
        <v>58.416670000000003</v>
      </c>
      <c r="G801">
        <v>-130.01669999999999</v>
      </c>
      <c r="H801">
        <v>-8</v>
      </c>
      <c r="I801">
        <v>801.9</v>
      </c>
      <c r="J801" t="str">
        <f>HYPERLINK("https://climate.onebuilding.org/WMO_Region_4_North_and_Central_America/CAN_Canada/BC_British_Columbia/CAN_BC_Dease.Lake.AP.712220_TMYx.2009-2023.zip")</f>
        <v>https://climate.onebuilding.org/WMO_Region_4_North_and_Central_America/CAN_Canada/BC_British_Columbia/CAN_BC_Dease.Lake.AP.712220_TMYx.2009-2023.zip</v>
      </c>
    </row>
    <row r="802" spans="1:10" x14ac:dyDescent="0.25">
      <c r="A802" t="s">
        <v>6</v>
      </c>
      <c r="B802" t="s">
        <v>55</v>
      </c>
      <c r="C802" t="s">
        <v>419</v>
      </c>
      <c r="D802">
        <v>712220</v>
      </c>
      <c r="E802" t="s">
        <v>10</v>
      </c>
      <c r="F802">
        <v>58.416670000000003</v>
      </c>
      <c r="G802">
        <v>-130.01669999999999</v>
      </c>
      <c r="H802">
        <v>-8</v>
      </c>
      <c r="I802">
        <v>801.9</v>
      </c>
      <c r="J802" t="str">
        <f>HYPERLINK("https://climate.onebuilding.org/WMO_Region_4_North_and_Central_America/CAN_Canada/BC_British_Columbia/CAN_BC_Dease.Lake.AP.712220_TMYx.zip")</f>
        <v>https://climate.onebuilding.org/WMO_Region_4_North_and_Central_America/CAN_Canada/BC_British_Columbia/CAN_BC_Dease.Lake.AP.712220_TMYx.zip</v>
      </c>
    </row>
    <row r="803" spans="1:10" x14ac:dyDescent="0.25">
      <c r="A803" t="s">
        <v>6</v>
      </c>
      <c r="B803" t="s">
        <v>17</v>
      </c>
      <c r="C803" t="s">
        <v>421</v>
      </c>
      <c r="D803">
        <v>712230</v>
      </c>
      <c r="E803" t="s">
        <v>422</v>
      </c>
      <c r="F803">
        <v>51.936999999999998</v>
      </c>
      <c r="G803">
        <v>-110.7131</v>
      </c>
      <c r="H803">
        <v>-7</v>
      </c>
      <c r="I803">
        <v>772</v>
      </c>
      <c r="J803" t="str">
        <f>HYPERLINK("https://climate.onebuilding.org/WMO_Region_4_North_and_Central_America/CAN_Canada/AB_Alberta/CAN_AB_Consort.AgDM.712230_TMYx.2004-2018.zip")</f>
        <v>https://climate.onebuilding.org/WMO_Region_4_North_and_Central_America/CAN_Canada/AB_Alberta/CAN_AB_Consort.AgDM.712230_TMYx.2004-2018.zip</v>
      </c>
    </row>
    <row r="804" spans="1:10" x14ac:dyDescent="0.25">
      <c r="A804" t="s">
        <v>6</v>
      </c>
      <c r="B804" t="s">
        <v>17</v>
      </c>
      <c r="C804" t="s">
        <v>421</v>
      </c>
      <c r="D804">
        <v>712230</v>
      </c>
      <c r="E804" t="s">
        <v>10</v>
      </c>
      <c r="F804">
        <v>51.936999999999998</v>
      </c>
      <c r="G804">
        <v>-110.7131</v>
      </c>
      <c r="H804">
        <v>-7</v>
      </c>
      <c r="I804">
        <v>772</v>
      </c>
      <c r="J804" t="str">
        <f>HYPERLINK("https://climate.onebuilding.org/WMO_Region_4_North_and_Central_America/CAN_Canada/AB_Alberta/CAN_AB_Consort.AgDM.712230_TMYx.2007-2021.zip")</f>
        <v>https://climate.onebuilding.org/WMO_Region_4_North_and_Central_America/CAN_Canada/AB_Alberta/CAN_AB_Consort.AgDM.712230_TMYx.2007-2021.zip</v>
      </c>
    </row>
    <row r="805" spans="1:10" x14ac:dyDescent="0.25">
      <c r="A805" t="s">
        <v>6</v>
      </c>
      <c r="B805" t="s">
        <v>17</v>
      </c>
      <c r="C805" t="s">
        <v>421</v>
      </c>
      <c r="D805">
        <v>712230</v>
      </c>
      <c r="E805" t="s">
        <v>10</v>
      </c>
      <c r="F805">
        <v>51.936999999999998</v>
      </c>
      <c r="G805">
        <v>-110.7131</v>
      </c>
      <c r="H805">
        <v>-7</v>
      </c>
      <c r="I805">
        <v>772</v>
      </c>
      <c r="J805" t="str">
        <f>HYPERLINK("https://climate.onebuilding.org/WMO_Region_4_North_and_Central_America/CAN_Canada/AB_Alberta/CAN_AB_Consort.AgDM.712230_TMYx.2009-2023.zip")</f>
        <v>https://climate.onebuilding.org/WMO_Region_4_North_and_Central_America/CAN_Canada/AB_Alberta/CAN_AB_Consort.AgDM.712230_TMYx.2009-2023.zip</v>
      </c>
    </row>
    <row r="806" spans="1:10" x14ac:dyDescent="0.25">
      <c r="A806" t="s">
        <v>6</v>
      </c>
      <c r="B806" t="s">
        <v>17</v>
      </c>
      <c r="C806" t="s">
        <v>421</v>
      </c>
      <c r="D806">
        <v>712230</v>
      </c>
      <c r="E806" t="s">
        <v>10</v>
      </c>
      <c r="F806">
        <v>51.936999999999998</v>
      </c>
      <c r="G806">
        <v>-110.7131</v>
      </c>
      <c r="H806">
        <v>-7</v>
      </c>
      <c r="I806">
        <v>772</v>
      </c>
      <c r="J806" t="str">
        <f>HYPERLINK("https://climate.onebuilding.org/WMO_Region_4_North_and_Central_America/CAN_Canada/AB_Alberta/CAN_AB_Consort.AgDM.712230_TMYx.zip")</f>
        <v>https://climate.onebuilding.org/WMO_Region_4_North_and_Central_America/CAN_Canada/AB_Alberta/CAN_AB_Consort.AgDM.712230_TMYx.zip</v>
      </c>
    </row>
    <row r="807" spans="1:10" x14ac:dyDescent="0.25">
      <c r="A807" t="s">
        <v>6</v>
      </c>
      <c r="B807" t="s">
        <v>17</v>
      </c>
      <c r="C807" t="s">
        <v>423</v>
      </c>
      <c r="D807">
        <v>712240</v>
      </c>
      <c r="E807" t="s">
        <v>424</v>
      </c>
      <c r="F807">
        <v>49.05</v>
      </c>
      <c r="G807">
        <v>-112.8167</v>
      </c>
      <c r="H807">
        <v>-7</v>
      </c>
      <c r="I807">
        <v>1310</v>
      </c>
      <c r="J807" t="str">
        <f>HYPERLINK("https://climate.onebuilding.org/WMO_Region_4_North_and_Central_America/CAN_Canada/AB_Alberta/CAN_AB_Del.Bonita.AgDM.712240_TMYx.2004-2018.zip")</f>
        <v>https://climate.onebuilding.org/WMO_Region_4_North_and_Central_America/CAN_Canada/AB_Alberta/CAN_AB_Del.Bonita.AgDM.712240_TMYx.2004-2018.zip</v>
      </c>
    </row>
    <row r="808" spans="1:10" x14ac:dyDescent="0.25">
      <c r="A808" t="s">
        <v>6</v>
      </c>
      <c r="B808" t="s">
        <v>17</v>
      </c>
      <c r="C808" t="s">
        <v>423</v>
      </c>
      <c r="D808">
        <v>712240</v>
      </c>
      <c r="E808" t="s">
        <v>10</v>
      </c>
      <c r="F808">
        <v>49.05</v>
      </c>
      <c r="G808">
        <v>-112.8099</v>
      </c>
      <c r="H808">
        <v>-7</v>
      </c>
      <c r="I808">
        <v>1310</v>
      </c>
      <c r="J808" t="str">
        <f>HYPERLINK("https://climate.onebuilding.org/WMO_Region_4_North_and_Central_America/CAN_Canada/AB_Alberta/CAN_AB_Del.Bonita.AgDM.712240_TMYx.2007-2021.zip")</f>
        <v>https://climate.onebuilding.org/WMO_Region_4_North_and_Central_America/CAN_Canada/AB_Alberta/CAN_AB_Del.Bonita.AgDM.712240_TMYx.2007-2021.zip</v>
      </c>
    </row>
    <row r="809" spans="1:10" x14ac:dyDescent="0.25">
      <c r="A809" t="s">
        <v>6</v>
      </c>
      <c r="B809" t="s">
        <v>17</v>
      </c>
      <c r="C809" t="s">
        <v>423</v>
      </c>
      <c r="D809">
        <v>712240</v>
      </c>
      <c r="E809" t="s">
        <v>10</v>
      </c>
      <c r="F809">
        <v>49.05</v>
      </c>
      <c r="G809">
        <v>-112.8099</v>
      </c>
      <c r="H809">
        <v>-7</v>
      </c>
      <c r="I809">
        <v>1310</v>
      </c>
      <c r="J809" t="str">
        <f>HYPERLINK("https://climate.onebuilding.org/WMO_Region_4_North_and_Central_America/CAN_Canada/AB_Alberta/CAN_AB_Del.Bonita.AgDM.712240_TMYx.2009-2023.zip")</f>
        <v>https://climate.onebuilding.org/WMO_Region_4_North_and_Central_America/CAN_Canada/AB_Alberta/CAN_AB_Del.Bonita.AgDM.712240_TMYx.2009-2023.zip</v>
      </c>
    </row>
    <row r="810" spans="1:10" x14ac:dyDescent="0.25">
      <c r="A810" t="s">
        <v>6</v>
      </c>
      <c r="B810" t="s">
        <v>17</v>
      </c>
      <c r="C810" t="s">
        <v>423</v>
      </c>
      <c r="D810">
        <v>712240</v>
      </c>
      <c r="E810" t="s">
        <v>10</v>
      </c>
      <c r="F810">
        <v>49.05</v>
      </c>
      <c r="G810">
        <v>-112.8099</v>
      </c>
      <c r="H810">
        <v>-7</v>
      </c>
      <c r="I810">
        <v>1310</v>
      </c>
      <c r="J810" t="str">
        <f>HYPERLINK("https://climate.onebuilding.org/WMO_Region_4_North_and_Central_America/CAN_Canada/AB_Alberta/CAN_AB_Del.Bonita.AgDM.712240_TMYx.zip")</f>
        <v>https://climate.onebuilding.org/WMO_Region_4_North_and_Central_America/CAN_Canada/AB_Alberta/CAN_AB_Del.Bonita.AgDM.712240_TMYx.zip</v>
      </c>
    </row>
    <row r="811" spans="1:10" x14ac:dyDescent="0.25">
      <c r="A811" t="s">
        <v>6</v>
      </c>
      <c r="B811" t="s">
        <v>17</v>
      </c>
      <c r="C811" t="s">
        <v>425</v>
      </c>
      <c r="D811">
        <v>712250</v>
      </c>
      <c r="E811" t="s">
        <v>426</v>
      </c>
      <c r="F811">
        <v>49.4833</v>
      </c>
      <c r="G811">
        <v>-111.48609999999999</v>
      </c>
      <c r="H811">
        <v>-7</v>
      </c>
      <c r="I811">
        <v>881</v>
      </c>
      <c r="J811" t="str">
        <f>HYPERLINK("https://climate.onebuilding.org/WMO_Region_4_North_and_Central_America/CAN_Canada/AB_Alberta/CAN_AB_Foremost.AgDM.712250_TMYx.2004-2018.zip")</f>
        <v>https://climate.onebuilding.org/WMO_Region_4_North_and_Central_America/CAN_Canada/AB_Alberta/CAN_AB_Foremost.AgDM.712250_TMYx.2004-2018.zip</v>
      </c>
    </row>
    <row r="812" spans="1:10" x14ac:dyDescent="0.25">
      <c r="A812" t="s">
        <v>6</v>
      </c>
      <c r="B812" t="s">
        <v>17</v>
      </c>
      <c r="C812" t="s">
        <v>425</v>
      </c>
      <c r="D812">
        <v>712250</v>
      </c>
      <c r="E812" t="s">
        <v>10</v>
      </c>
      <c r="F812">
        <v>49.4833</v>
      </c>
      <c r="G812">
        <v>-111.48609999999999</v>
      </c>
      <c r="H812">
        <v>-7</v>
      </c>
      <c r="I812">
        <v>881</v>
      </c>
      <c r="J812" t="str">
        <f>HYPERLINK("https://climate.onebuilding.org/WMO_Region_4_North_and_Central_America/CAN_Canada/AB_Alberta/CAN_AB_Foremost.AgDM.712250_TMYx.2007-2021.zip")</f>
        <v>https://climate.onebuilding.org/WMO_Region_4_North_and_Central_America/CAN_Canada/AB_Alberta/CAN_AB_Foremost.AgDM.712250_TMYx.2007-2021.zip</v>
      </c>
    </row>
    <row r="813" spans="1:10" x14ac:dyDescent="0.25">
      <c r="A813" t="s">
        <v>6</v>
      </c>
      <c r="B813" t="s">
        <v>17</v>
      </c>
      <c r="C813" t="s">
        <v>425</v>
      </c>
      <c r="D813">
        <v>712250</v>
      </c>
      <c r="E813" t="s">
        <v>10</v>
      </c>
      <c r="F813">
        <v>49.4833</v>
      </c>
      <c r="G813">
        <v>-111.48609999999999</v>
      </c>
      <c r="H813">
        <v>-7</v>
      </c>
      <c r="I813">
        <v>881</v>
      </c>
      <c r="J813" t="str">
        <f>HYPERLINK("https://climate.onebuilding.org/WMO_Region_4_North_and_Central_America/CAN_Canada/AB_Alberta/CAN_AB_Foremost.AgDM.712250_TMYx.2009-2023.zip")</f>
        <v>https://climate.onebuilding.org/WMO_Region_4_North_and_Central_America/CAN_Canada/AB_Alberta/CAN_AB_Foremost.AgDM.712250_TMYx.2009-2023.zip</v>
      </c>
    </row>
    <row r="814" spans="1:10" x14ac:dyDescent="0.25">
      <c r="A814" t="s">
        <v>6</v>
      </c>
      <c r="B814" t="s">
        <v>17</v>
      </c>
      <c r="C814" t="s">
        <v>425</v>
      </c>
      <c r="D814">
        <v>712250</v>
      </c>
      <c r="E814" t="s">
        <v>10</v>
      </c>
      <c r="F814">
        <v>49.4833</v>
      </c>
      <c r="G814">
        <v>-111.48609999999999</v>
      </c>
      <c r="H814">
        <v>-7</v>
      </c>
      <c r="I814">
        <v>881</v>
      </c>
      <c r="J814" t="str">
        <f>HYPERLINK("https://climate.onebuilding.org/WMO_Region_4_North_and_Central_America/CAN_Canada/AB_Alberta/CAN_AB_Foremost.AgDM.712250_TMYx.zip")</f>
        <v>https://climate.onebuilding.org/WMO_Region_4_North_and_Central_America/CAN_Canada/AB_Alberta/CAN_AB_Foremost.AgDM.712250_TMYx.zip</v>
      </c>
    </row>
    <row r="815" spans="1:10" x14ac:dyDescent="0.25">
      <c r="A815" t="s">
        <v>6</v>
      </c>
      <c r="B815" t="s">
        <v>17</v>
      </c>
      <c r="C815" t="s">
        <v>427</v>
      </c>
      <c r="D815">
        <v>712260</v>
      </c>
      <c r="E815" t="s">
        <v>428</v>
      </c>
      <c r="F815">
        <v>55.383000000000003</v>
      </c>
      <c r="G815">
        <v>-116.467</v>
      </c>
      <c r="H815">
        <v>-7</v>
      </c>
      <c r="I815">
        <v>602</v>
      </c>
      <c r="J815" t="str">
        <f>HYPERLINK("https://climate.onebuilding.org/WMO_Region_4_North_and_Central_America/CAN_Canada/AB_Alberta/CAN_AB_High.Prairie.AgDM.712260_TMYx.2004-2018.zip")</f>
        <v>https://climate.onebuilding.org/WMO_Region_4_North_and_Central_America/CAN_Canada/AB_Alberta/CAN_AB_High.Prairie.AgDM.712260_TMYx.2004-2018.zip</v>
      </c>
    </row>
    <row r="816" spans="1:10" x14ac:dyDescent="0.25">
      <c r="A816" t="s">
        <v>6</v>
      </c>
      <c r="B816" t="s">
        <v>17</v>
      </c>
      <c r="C816" t="s">
        <v>427</v>
      </c>
      <c r="D816">
        <v>712260</v>
      </c>
      <c r="E816" t="s">
        <v>10</v>
      </c>
      <c r="F816">
        <v>55.3949</v>
      </c>
      <c r="G816">
        <v>-116.48309999999999</v>
      </c>
      <c r="H816">
        <v>-7</v>
      </c>
      <c r="I816">
        <v>602</v>
      </c>
      <c r="J816" t="str">
        <f>HYPERLINK("https://climate.onebuilding.org/WMO_Region_4_North_and_Central_America/CAN_Canada/AB_Alberta/CAN_AB_High.Prairie.AgDM.712260_TMYx.2007-2021.zip")</f>
        <v>https://climate.onebuilding.org/WMO_Region_4_North_and_Central_America/CAN_Canada/AB_Alberta/CAN_AB_High.Prairie.AgDM.712260_TMYx.2007-2021.zip</v>
      </c>
    </row>
    <row r="817" spans="1:10" x14ac:dyDescent="0.25">
      <c r="A817" t="s">
        <v>6</v>
      </c>
      <c r="B817" t="s">
        <v>17</v>
      </c>
      <c r="C817" t="s">
        <v>427</v>
      </c>
      <c r="D817">
        <v>712260</v>
      </c>
      <c r="E817" t="s">
        <v>10</v>
      </c>
      <c r="F817">
        <v>55.3949</v>
      </c>
      <c r="G817">
        <v>-116.48309999999999</v>
      </c>
      <c r="H817">
        <v>-7</v>
      </c>
      <c r="I817">
        <v>602</v>
      </c>
      <c r="J817" t="str">
        <f>HYPERLINK("https://climate.onebuilding.org/WMO_Region_4_North_and_Central_America/CAN_Canada/AB_Alberta/CAN_AB_High.Prairie.AgDM.712260_TMYx.2009-2023.zip")</f>
        <v>https://climate.onebuilding.org/WMO_Region_4_North_and_Central_America/CAN_Canada/AB_Alberta/CAN_AB_High.Prairie.AgDM.712260_TMYx.2009-2023.zip</v>
      </c>
    </row>
    <row r="818" spans="1:10" x14ac:dyDescent="0.25">
      <c r="A818" t="s">
        <v>6</v>
      </c>
      <c r="B818" t="s">
        <v>17</v>
      </c>
      <c r="C818" t="s">
        <v>427</v>
      </c>
      <c r="D818">
        <v>712260</v>
      </c>
      <c r="E818" t="s">
        <v>10</v>
      </c>
      <c r="F818">
        <v>55.3949</v>
      </c>
      <c r="G818">
        <v>-116.48309999999999</v>
      </c>
      <c r="H818">
        <v>-7</v>
      </c>
      <c r="I818">
        <v>602</v>
      </c>
      <c r="J818" t="str">
        <f>HYPERLINK("https://climate.onebuilding.org/WMO_Region_4_North_and_Central_America/CAN_Canada/AB_Alberta/CAN_AB_High.Prairie.AgDM.712260_TMYx.zip")</f>
        <v>https://climate.onebuilding.org/WMO_Region_4_North_and_Central_America/CAN_Canada/AB_Alberta/CAN_AB_High.Prairie.AgDM.712260_TMYx.zip</v>
      </c>
    </row>
    <row r="819" spans="1:10" x14ac:dyDescent="0.25">
      <c r="A819" t="s">
        <v>6</v>
      </c>
      <c r="B819" t="s">
        <v>17</v>
      </c>
      <c r="C819" t="s">
        <v>429</v>
      </c>
      <c r="D819">
        <v>712270</v>
      </c>
      <c r="E819" t="s">
        <v>430</v>
      </c>
      <c r="F819">
        <v>53.185000000000002</v>
      </c>
      <c r="G819">
        <v>-112.2461</v>
      </c>
      <c r="H819">
        <v>-7</v>
      </c>
      <c r="I819">
        <v>688</v>
      </c>
      <c r="J819" t="str">
        <f>HYPERLINK("https://climate.onebuilding.org/WMO_Region_4_North_and_Central_America/CAN_Canada/AB_Alberta/CAN_AB_Holden.AgDM.712270_TMYx.2004-2018.zip")</f>
        <v>https://climate.onebuilding.org/WMO_Region_4_North_and_Central_America/CAN_Canada/AB_Alberta/CAN_AB_Holden.AgDM.712270_TMYx.2004-2018.zip</v>
      </c>
    </row>
    <row r="820" spans="1:10" x14ac:dyDescent="0.25">
      <c r="A820" t="s">
        <v>6</v>
      </c>
      <c r="B820" t="s">
        <v>17</v>
      </c>
      <c r="C820" t="s">
        <v>429</v>
      </c>
      <c r="D820">
        <v>712270</v>
      </c>
      <c r="E820" t="s">
        <v>10</v>
      </c>
      <c r="F820">
        <v>53.185000000000002</v>
      </c>
      <c r="G820">
        <v>-112.2461</v>
      </c>
      <c r="H820">
        <v>-7</v>
      </c>
      <c r="I820">
        <v>688</v>
      </c>
      <c r="J820" t="str">
        <f>HYPERLINK("https://climate.onebuilding.org/WMO_Region_4_North_and_Central_America/CAN_Canada/AB_Alberta/CAN_AB_Holden.AgDM.712270_TMYx.2007-2021.zip")</f>
        <v>https://climate.onebuilding.org/WMO_Region_4_North_and_Central_America/CAN_Canada/AB_Alberta/CAN_AB_Holden.AgDM.712270_TMYx.2007-2021.zip</v>
      </c>
    </row>
    <row r="821" spans="1:10" x14ac:dyDescent="0.25">
      <c r="A821" t="s">
        <v>6</v>
      </c>
      <c r="B821" t="s">
        <v>17</v>
      </c>
      <c r="C821" t="s">
        <v>429</v>
      </c>
      <c r="D821">
        <v>712270</v>
      </c>
      <c r="E821" t="s">
        <v>10</v>
      </c>
      <c r="F821">
        <v>53.185000000000002</v>
      </c>
      <c r="G821">
        <v>-112.2461</v>
      </c>
      <c r="H821">
        <v>-7</v>
      </c>
      <c r="I821">
        <v>688</v>
      </c>
      <c r="J821" t="str">
        <f>HYPERLINK("https://climate.onebuilding.org/WMO_Region_4_North_and_Central_America/CAN_Canada/AB_Alberta/CAN_AB_Holden.AgDM.712270_TMYx.2009-2023.zip")</f>
        <v>https://climate.onebuilding.org/WMO_Region_4_North_and_Central_America/CAN_Canada/AB_Alberta/CAN_AB_Holden.AgDM.712270_TMYx.2009-2023.zip</v>
      </c>
    </row>
    <row r="822" spans="1:10" x14ac:dyDescent="0.25">
      <c r="A822" t="s">
        <v>6</v>
      </c>
      <c r="B822" t="s">
        <v>17</v>
      </c>
      <c r="C822" t="s">
        <v>429</v>
      </c>
      <c r="D822">
        <v>712270</v>
      </c>
      <c r="E822" t="s">
        <v>10</v>
      </c>
      <c r="F822">
        <v>53.185000000000002</v>
      </c>
      <c r="G822">
        <v>-112.2461</v>
      </c>
      <c r="H822">
        <v>-7</v>
      </c>
      <c r="I822">
        <v>688</v>
      </c>
      <c r="J822" t="str">
        <f>HYPERLINK("https://climate.onebuilding.org/WMO_Region_4_North_and_Central_America/CAN_Canada/AB_Alberta/CAN_AB_Holden.AgDM.712270_TMYx.zip")</f>
        <v>https://climate.onebuilding.org/WMO_Region_4_North_and_Central_America/CAN_Canada/AB_Alberta/CAN_AB_Holden.AgDM.712270_TMYx.zip</v>
      </c>
    </row>
    <row r="823" spans="1:10" x14ac:dyDescent="0.25">
      <c r="A823" t="s">
        <v>6</v>
      </c>
      <c r="B823" t="s">
        <v>17</v>
      </c>
      <c r="C823" t="s">
        <v>431</v>
      </c>
      <c r="D823">
        <v>712280</v>
      </c>
      <c r="E823" t="s">
        <v>432</v>
      </c>
      <c r="F823">
        <v>52.832999999999998</v>
      </c>
      <c r="G823">
        <v>-111.867</v>
      </c>
      <c r="H823">
        <v>-7</v>
      </c>
      <c r="I823">
        <v>675</v>
      </c>
      <c r="J823" t="str">
        <f>HYPERLINK("https://climate.onebuilding.org/WMO_Region_4_North_and_Central_America/CAN_Canada/AB_Alberta/CAN_AB_Killam.AgDM.712280_TMYx.2004-2018.zip")</f>
        <v>https://climate.onebuilding.org/WMO_Region_4_North_and_Central_America/CAN_Canada/AB_Alberta/CAN_AB_Killam.AgDM.712280_TMYx.2004-2018.zip</v>
      </c>
    </row>
    <row r="824" spans="1:10" x14ac:dyDescent="0.25">
      <c r="A824" t="s">
        <v>6</v>
      </c>
      <c r="B824" t="s">
        <v>17</v>
      </c>
      <c r="C824" t="s">
        <v>431</v>
      </c>
      <c r="D824">
        <v>712280</v>
      </c>
      <c r="E824" t="s">
        <v>10</v>
      </c>
      <c r="F824">
        <v>52.847499999999997</v>
      </c>
      <c r="G824">
        <v>-111.8719</v>
      </c>
      <c r="H824">
        <v>-7</v>
      </c>
      <c r="I824">
        <v>675</v>
      </c>
      <c r="J824" t="str">
        <f>HYPERLINK("https://climate.onebuilding.org/WMO_Region_4_North_and_Central_America/CAN_Canada/AB_Alberta/CAN_AB_Killam.AgDM.712280_TMYx.2007-2021.zip")</f>
        <v>https://climate.onebuilding.org/WMO_Region_4_North_and_Central_America/CAN_Canada/AB_Alberta/CAN_AB_Killam.AgDM.712280_TMYx.2007-2021.zip</v>
      </c>
    </row>
    <row r="825" spans="1:10" x14ac:dyDescent="0.25">
      <c r="A825" t="s">
        <v>6</v>
      </c>
      <c r="B825" t="s">
        <v>17</v>
      </c>
      <c r="C825" t="s">
        <v>431</v>
      </c>
      <c r="D825">
        <v>712280</v>
      </c>
      <c r="E825" t="s">
        <v>10</v>
      </c>
      <c r="F825">
        <v>52.847499999999997</v>
      </c>
      <c r="G825">
        <v>-111.8719</v>
      </c>
      <c r="H825">
        <v>-7</v>
      </c>
      <c r="I825">
        <v>675</v>
      </c>
      <c r="J825" t="str">
        <f>HYPERLINK("https://climate.onebuilding.org/WMO_Region_4_North_and_Central_America/CAN_Canada/AB_Alberta/CAN_AB_Killam.AgDM.712280_TMYx.2009-2023.zip")</f>
        <v>https://climate.onebuilding.org/WMO_Region_4_North_and_Central_America/CAN_Canada/AB_Alberta/CAN_AB_Killam.AgDM.712280_TMYx.2009-2023.zip</v>
      </c>
    </row>
    <row r="826" spans="1:10" x14ac:dyDescent="0.25">
      <c r="A826" t="s">
        <v>6</v>
      </c>
      <c r="B826" t="s">
        <v>17</v>
      </c>
      <c r="C826" t="s">
        <v>431</v>
      </c>
      <c r="D826">
        <v>712280</v>
      </c>
      <c r="E826" t="s">
        <v>10</v>
      </c>
      <c r="F826">
        <v>52.847499999999997</v>
      </c>
      <c r="G826">
        <v>-111.8719</v>
      </c>
      <c r="H826">
        <v>-7</v>
      </c>
      <c r="I826">
        <v>675</v>
      </c>
      <c r="J826" t="str">
        <f>HYPERLINK("https://climate.onebuilding.org/WMO_Region_4_North_and_Central_America/CAN_Canada/AB_Alberta/CAN_AB_Killam.AgDM.712280_TMYx.zip")</f>
        <v>https://climate.onebuilding.org/WMO_Region_4_North_and_Central_America/CAN_Canada/AB_Alberta/CAN_AB_Killam.AgDM.712280_TMYx.zip</v>
      </c>
    </row>
    <row r="827" spans="1:10" x14ac:dyDescent="0.25">
      <c r="A827" t="s">
        <v>6</v>
      </c>
      <c r="B827" t="s">
        <v>17</v>
      </c>
      <c r="C827" t="s">
        <v>433</v>
      </c>
      <c r="D827">
        <v>712290</v>
      </c>
      <c r="E827" t="s">
        <v>434</v>
      </c>
      <c r="F827">
        <v>56.9739</v>
      </c>
      <c r="G827">
        <v>-117.4508</v>
      </c>
      <c r="H827">
        <v>-7</v>
      </c>
      <c r="I827">
        <v>457</v>
      </c>
      <c r="J827" t="str">
        <f>HYPERLINK("https://climate.onebuilding.org/WMO_Region_4_North_and_Central_America/CAN_Canada/AB_Alberta/CAN_AB_Manning.AgDM.712290_TMYx.2004-2018.zip")</f>
        <v>https://climate.onebuilding.org/WMO_Region_4_North_and_Central_America/CAN_Canada/AB_Alberta/CAN_AB_Manning.AgDM.712290_TMYx.2004-2018.zip</v>
      </c>
    </row>
    <row r="828" spans="1:10" x14ac:dyDescent="0.25">
      <c r="A828" t="s">
        <v>6</v>
      </c>
      <c r="B828" t="s">
        <v>17</v>
      </c>
      <c r="C828" t="s">
        <v>433</v>
      </c>
      <c r="D828">
        <v>712290</v>
      </c>
      <c r="E828" t="s">
        <v>10</v>
      </c>
      <c r="F828">
        <v>56.9739</v>
      </c>
      <c r="G828">
        <v>-117.4508</v>
      </c>
      <c r="H828">
        <v>-7</v>
      </c>
      <c r="I828">
        <v>457</v>
      </c>
      <c r="J828" t="str">
        <f>HYPERLINK("https://climate.onebuilding.org/WMO_Region_4_North_and_Central_America/CAN_Canada/AB_Alberta/CAN_AB_Manning.AgDM.712290_TMYx.2007-2021.zip")</f>
        <v>https://climate.onebuilding.org/WMO_Region_4_North_and_Central_America/CAN_Canada/AB_Alberta/CAN_AB_Manning.AgDM.712290_TMYx.2007-2021.zip</v>
      </c>
    </row>
    <row r="829" spans="1:10" x14ac:dyDescent="0.25">
      <c r="A829" t="s">
        <v>6</v>
      </c>
      <c r="B829" t="s">
        <v>17</v>
      </c>
      <c r="C829" t="s">
        <v>433</v>
      </c>
      <c r="D829">
        <v>712290</v>
      </c>
      <c r="E829" t="s">
        <v>10</v>
      </c>
      <c r="F829">
        <v>56.9739</v>
      </c>
      <c r="G829">
        <v>-117.4508</v>
      </c>
      <c r="H829">
        <v>-7</v>
      </c>
      <c r="I829">
        <v>457</v>
      </c>
      <c r="J829" t="str">
        <f>HYPERLINK("https://climate.onebuilding.org/WMO_Region_4_North_and_Central_America/CAN_Canada/AB_Alberta/CAN_AB_Manning.AgDM.712290_TMYx.2009-2023.zip")</f>
        <v>https://climate.onebuilding.org/WMO_Region_4_North_and_Central_America/CAN_Canada/AB_Alberta/CAN_AB_Manning.AgDM.712290_TMYx.2009-2023.zip</v>
      </c>
    </row>
    <row r="830" spans="1:10" x14ac:dyDescent="0.25">
      <c r="A830" t="s">
        <v>6</v>
      </c>
      <c r="B830" t="s">
        <v>17</v>
      </c>
      <c r="C830" t="s">
        <v>433</v>
      </c>
      <c r="D830">
        <v>712290</v>
      </c>
      <c r="E830" t="s">
        <v>10</v>
      </c>
      <c r="F830">
        <v>56.9739</v>
      </c>
      <c r="G830">
        <v>-117.4508</v>
      </c>
      <c r="H830">
        <v>-7</v>
      </c>
      <c r="I830">
        <v>457</v>
      </c>
      <c r="J830" t="str">
        <f>HYPERLINK("https://climate.onebuilding.org/WMO_Region_4_North_and_Central_America/CAN_Canada/AB_Alberta/CAN_AB_Manning.AgDM.712290_TMYx.zip")</f>
        <v>https://climate.onebuilding.org/WMO_Region_4_North_and_Central_America/CAN_Canada/AB_Alberta/CAN_AB_Manning.AgDM.712290_TMYx.zip</v>
      </c>
    </row>
    <row r="831" spans="1:10" x14ac:dyDescent="0.25">
      <c r="A831" t="s">
        <v>6</v>
      </c>
      <c r="B831" t="s">
        <v>17</v>
      </c>
      <c r="C831" t="s">
        <v>435</v>
      </c>
      <c r="D831">
        <v>712300</v>
      </c>
      <c r="E831" t="s">
        <v>436</v>
      </c>
      <c r="F831">
        <v>55.1967</v>
      </c>
      <c r="G831">
        <v>-119.3964</v>
      </c>
      <c r="H831">
        <v>-7</v>
      </c>
      <c r="I831">
        <v>745</v>
      </c>
      <c r="J831" t="str">
        <f>HYPERLINK("https://climate.onebuilding.org/WMO_Region_4_North_and_Central_America/CAN_Canada/AB_Alberta/CAN_AB_Beaverlodge.RCS.712300_TMYx.2004-2018.zip")</f>
        <v>https://climate.onebuilding.org/WMO_Region_4_North_and_Central_America/CAN_Canada/AB_Alberta/CAN_AB_Beaverlodge.RCS.712300_TMYx.2004-2018.zip</v>
      </c>
    </row>
    <row r="832" spans="1:10" x14ac:dyDescent="0.25">
      <c r="A832" t="s">
        <v>6</v>
      </c>
      <c r="B832" t="s">
        <v>17</v>
      </c>
      <c r="C832" t="s">
        <v>435</v>
      </c>
      <c r="D832">
        <v>712300</v>
      </c>
      <c r="E832" t="s">
        <v>10</v>
      </c>
      <c r="F832">
        <v>55.1967</v>
      </c>
      <c r="G832">
        <v>-119.3964</v>
      </c>
      <c r="H832">
        <v>-7</v>
      </c>
      <c r="I832">
        <v>745</v>
      </c>
      <c r="J832" t="str">
        <f>HYPERLINK("https://climate.onebuilding.org/WMO_Region_4_North_and_Central_America/CAN_Canada/AB_Alberta/CAN_AB_Beaverlodge.RCS.712300_TMYx.2007-2021.zip")</f>
        <v>https://climate.onebuilding.org/WMO_Region_4_North_and_Central_America/CAN_Canada/AB_Alberta/CAN_AB_Beaverlodge.RCS.712300_TMYx.2007-2021.zip</v>
      </c>
    </row>
    <row r="833" spans="1:10" x14ac:dyDescent="0.25">
      <c r="A833" t="s">
        <v>6</v>
      </c>
      <c r="B833" t="s">
        <v>17</v>
      </c>
      <c r="C833" t="s">
        <v>435</v>
      </c>
      <c r="D833">
        <v>712300</v>
      </c>
      <c r="E833" t="s">
        <v>10</v>
      </c>
      <c r="F833">
        <v>55.1967</v>
      </c>
      <c r="G833">
        <v>-119.3964</v>
      </c>
      <c r="H833">
        <v>-7</v>
      </c>
      <c r="I833">
        <v>745</v>
      </c>
      <c r="J833" t="str">
        <f>HYPERLINK("https://climate.onebuilding.org/WMO_Region_4_North_and_Central_America/CAN_Canada/AB_Alberta/CAN_AB_Beaverlodge.RCS.712300_TMYx.2009-2023.zip")</f>
        <v>https://climate.onebuilding.org/WMO_Region_4_North_and_Central_America/CAN_Canada/AB_Alberta/CAN_AB_Beaverlodge.RCS.712300_TMYx.2009-2023.zip</v>
      </c>
    </row>
    <row r="834" spans="1:10" x14ac:dyDescent="0.25">
      <c r="A834" t="s">
        <v>6</v>
      </c>
      <c r="B834" t="s">
        <v>17</v>
      </c>
      <c r="C834" t="s">
        <v>435</v>
      </c>
      <c r="D834">
        <v>712300</v>
      </c>
      <c r="E834" t="s">
        <v>10</v>
      </c>
      <c r="F834">
        <v>55.1967</v>
      </c>
      <c r="G834">
        <v>-119.3964</v>
      </c>
      <c r="H834">
        <v>-7</v>
      </c>
      <c r="I834">
        <v>745</v>
      </c>
      <c r="J834" t="str">
        <f>HYPERLINK("https://climate.onebuilding.org/WMO_Region_4_North_and_Central_America/CAN_Canada/AB_Alberta/CAN_AB_Beaverlodge.RCS.712300_TMYx.zip")</f>
        <v>https://climate.onebuilding.org/WMO_Region_4_North_and_Central_America/CAN_Canada/AB_Alberta/CAN_AB_Beaverlodge.RCS.712300_TMYx.zip</v>
      </c>
    </row>
    <row r="835" spans="1:10" x14ac:dyDescent="0.25">
      <c r="A835" t="s">
        <v>6</v>
      </c>
      <c r="B835" t="s">
        <v>17</v>
      </c>
      <c r="C835" t="s">
        <v>437</v>
      </c>
      <c r="D835">
        <v>712310</v>
      </c>
      <c r="E835" t="s">
        <v>438</v>
      </c>
      <c r="F835">
        <v>49.734200000000001</v>
      </c>
      <c r="G835">
        <v>-111.4503</v>
      </c>
      <c r="H835">
        <v>-7</v>
      </c>
      <c r="I835">
        <v>816.6</v>
      </c>
      <c r="J835" t="str">
        <f>HYPERLINK("https://climate.onebuilding.org/WMO_Region_4_North_and_Central_America/CAN_Canada/AB_Alberta/CAN_AB_Bow.Island.712310_TMYx.2004-2018.zip")</f>
        <v>https://climate.onebuilding.org/WMO_Region_4_North_and_Central_America/CAN_Canada/AB_Alberta/CAN_AB_Bow.Island.712310_TMYx.2004-2018.zip</v>
      </c>
    </row>
    <row r="836" spans="1:10" x14ac:dyDescent="0.25">
      <c r="A836" t="s">
        <v>6</v>
      </c>
      <c r="B836" t="s">
        <v>17</v>
      </c>
      <c r="C836" t="s">
        <v>437</v>
      </c>
      <c r="D836">
        <v>712310</v>
      </c>
      <c r="E836" t="s">
        <v>10</v>
      </c>
      <c r="F836">
        <v>49.734200000000001</v>
      </c>
      <c r="G836">
        <v>-111.4503</v>
      </c>
      <c r="H836">
        <v>-7</v>
      </c>
      <c r="I836">
        <v>816.6</v>
      </c>
      <c r="J836" t="str">
        <f>HYPERLINK("https://climate.onebuilding.org/WMO_Region_4_North_and_Central_America/CAN_Canada/AB_Alberta/CAN_AB_Bow.Island.712310_TMYx.2007-2021.zip")</f>
        <v>https://climate.onebuilding.org/WMO_Region_4_North_and_Central_America/CAN_Canada/AB_Alberta/CAN_AB_Bow.Island.712310_TMYx.2007-2021.zip</v>
      </c>
    </row>
    <row r="837" spans="1:10" x14ac:dyDescent="0.25">
      <c r="A837" t="s">
        <v>6</v>
      </c>
      <c r="B837" t="s">
        <v>17</v>
      </c>
      <c r="C837" t="s">
        <v>437</v>
      </c>
      <c r="D837">
        <v>712310</v>
      </c>
      <c r="E837" t="s">
        <v>10</v>
      </c>
      <c r="F837">
        <v>49.734200000000001</v>
      </c>
      <c r="G837">
        <v>-111.4503</v>
      </c>
      <c r="H837">
        <v>-7</v>
      </c>
      <c r="I837">
        <v>816.6</v>
      </c>
      <c r="J837" t="str">
        <f>HYPERLINK("https://climate.onebuilding.org/WMO_Region_4_North_and_Central_America/CAN_Canada/AB_Alberta/CAN_AB_Bow.Island.712310_TMYx.2009-2023.zip")</f>
        <v>https://climate.onebuilding.org/WMO_Region_4_North_and_Central_America/CAN_Canada/AB_Alberta/CAN_AB_Bow.Island.712310_TMYx.2009-2023.zip</v>
      </c>
    </row>
    <row r="838" spans="1:10" x14ac:dyDescent="0.25">
      <c r="A838" t="s">
        <v>6</v>
      </c>
      <c r="B838" t="s">
        <v>17</v>
      </c>
      <c r="C838" t="s">
        <v>437</v>
      </c>
      <c r="D838">
        <v>712310</v>
      </c>
      <c r="E838" t="s">
        <v>10</v>
      </c>
      <c r="F838">
        <v>49.734200000000001</v>
      </c>
      <c r="G838">
        <v>-111.4503</v>
      </c>
      <c r="H838">
        <v>-7</v>
      </c>
      <c r="I838">
        <v>816.6</v>
      </c>
      <c r="J838" t="str">
        <f>HYPERLINK("https://climate.onebuilding.org/WMO_Region_4_North_and_Central_America/CAN_Canada/AB_Alberta/CAN_AB_Bow.Island.712310_TMYx.zip")</f>
        <v>https://climate.onebuilding.org/WMO_Region_4_North_and_Central_America/CAN_Canada/AB_Alberta/CAN_AB_Bow.Island.712310_TMYx.zip</v>
      </c>
    </row>
    <row r="839" spans="1:10" x14ac:dyDescent="0.25">
      <c r="A839" t="s">
        <v>6</v>
      </c>
      <c r="B839" t="s">
        <v>17</v>
      </c>
      <c r="C839" t="s">
        <v>439</v>
      </c>
      <c r="D839">
        <v>712320</v>
      </c>
      <c r="E839" t="s">
        <v>440</v>
      </c>
      <c r="F839">
        <v>51.083300000000001</v>
      </c>
      <c r="G839">
        <v>-115.0667</v>
      </c>
      <c r="H839">
        <v>-7</v>
      </c>
      <c r="I839">
        <v>1297.5</v>
      </c>
      <c r="J839" t="str">
        <f>HYPERLINK("https://climate.onebuilding.org/WMO_Region_4_North_and_Central_America/CAN_Canada/AB_Alberta/CAN_AB_Bow.Valley.Prov.Park.712320_TMYx.2004-2018.zip")</f>
        <v>https://climate.onebuilding.org/WMO_Region_4_North_and_Central_America/CAN_Canada/AB_Alberta/CAN_AB_Bow.Valley.Prov.Park.712320_TMYx.2004-2018.zip</v>
      </c>
    </row>
    <row r="840" spans="1:10" x14ac:dyDescent="0.25">
      <c r="A840" t="s">
        <v>6</v>
      </c>
      <c r="B840" t="s">
        <v>17</v>
      </c>
      <c r="C840" t="s">
        <v>439</v>
      </c>
      <c r="D840">
        <v>712320</v>
      </c>
      <c r="E840" t="s">
        <v>10</v>
      </c>
      <c r="F840">
        <v>51.083300000000001</v>
      </c>
      <c r="G840">
        <v>-115.0667</v>
      </c>
      <c r="H840">
        <v>-7</v>
      </c>
      <c r="I840">
        <v>1297.5</v>
      </c>
      <c r="J840" t="str">
        <f>HYPERLINK("https://climate.onebuilding.org/WMO_Region_4_North_and_Central_America/CAN_Canada/AB_Alberta/CAN_AB_Bow.Valley.Prov.Park.712320_TMYx.2007-2021.zip")</f>
        <v>https://climate.onebuilding.org/WMO_Region_4_North_and_Central_America/CAN_Canada/AB_Alberta/CAN_AB_Bow.Valley.Prov.Park.712320_TMYx.2007-2021.zip</v>
      </c>
    </row>
    <row r="841" spans="1:10" x14ac:dyDescent="0.25">
      <c r="A841" t="s">
        <v>6</v>
      </c>
      <c r="B841" t="s">
        <v>17</v>
      </c>
      <c r="C841" t="s">
        <v>439</v>
      </c>
      <c r="D841">
        <v>712320</v>
      </c>
      <c r="E841" t="s">
        <v>10</v>
      </c>
      <c r="F841">
        <v>51.083300000000001</v>
      </c>
      <c r="G841">
        <v>-115.0667</v>
      </c>
      <c r="H841">
        <v>-7</v>
      </c>
      <c r="I841">
        <v>1297.5</v>
      </c>
      <c r="J841" t="str">
        <f>HYPERLINK("https://climate.onebuilding.org/WMO_Region_4_North_and_Central_America/CAN_Canada/AB_Alberta/CAN_AB_Bow.Valley.Prov.Park.712320_TMYx.2009-2023.zip")</f>
        <v>https://climate.onebuilding.org/WMO_Region_4_North_and_Central_America/CAN_Canada/AB_Alberta/CAN_AB_Bow.Valley.Prov.Park.712320_TMYx.2009-2023.zip</v>
      </c>
    </row>
    <row r="842" spans="1:10" x14ac:dyDescent="0.25">
      <c r="A842" t="s">
        <v>6</v>
      </c>
      <c r="B842" t="s">
        <v>17</v>
      </c>
      <c r="C842" t="s">
        <v>439</v>
      </c>
      <c r="D842">
        <v>712320</v>
      </c>
      <c r="E842" t="s">
        <v>10</v>
      </c>
      <c r="F842">
        <v>51.083300000000001</v>
      </c>
      <c r="G842">
        <v>-115.0667</v>
      </c>
      <c r="H842">
        <v>-7</v>
      </c>
      <c r="I842">
        <v>1297.5</v>
      </c>
      <c r="J842" t="str">
        <f>HYPERLINK("https://climate.onebuilding.org/WMO_Region_4_North_and_Central_America/CAN_Canada/AB_Alberta/CAN_AB_Bow.Valley.Prov.Park.712320_TMYx.zip")</f>
        <v>https://climate.onebuilding.org/WMO_Region_4_North_and_Central_America/CAN_Canada/AB_Alberta/CAN_AB_Bow.Valley.Prov.Park.712320_TMYx.zip</v>
      </c>
    </row>
    <row r="843" spans="1:10" x14ac:dyDescent="0.25">
      <c r="A843" t="s">
        <v>6</v>
      </c>
      <c r="B843" t="s">
        <v>17</v>
      </c>
      <c r="C843" t="s">
        <v>441</v>
      </c>
      <c r="D843">
        <v>712330</v>
      </c>
      <c r="E843" t="s">
        <v>442</v>
      </c>
      <c r="F843">
        <v>53.089399999999998</v>
      </c>
      <c r="G843">
        <v>-114.4408</v>
      </c>
      <c r="H843">
        <v>-7</v>
      </c>
      <c r="I843">
        <v>851.5</v>
      </c>
      <c r="J843" t="str">
        <f>HYPERLINK("https://climate.onebuilding.org/WMO_Region_4_North_and_Central_America/CAN_Canada/AB_Alberta/CAN_AB_Breton.Plots.712330_TMYx.2004-2018.zip")</f>
        <v>https://climate.onebuilding.org/WMO_Region_4_North_and_Central_America/CAN_Canada/AB_Alberta/CAN_AB_Breton.Plots.712330_TMYx.2004-2018.zip</v>
      </c>
    </row>
    <row r="844" spans="1:10" x14ac:dyDescent="0.25">
      <c r="A844" t="s">
        <v>6</v>
      </c>
      <c r="B844" t="s">
        <v>17</v>
      </c>
      <c r="C844" t="s">
        <v>441</v>
      </c>
      <c r="D844">
        <v>712330</v>
      </c>
      <c r="E844" t="s">
        <v>10</v>
      </c>
      <c r="F844">
        <v>53.089399999999998</v>
      </c>
      <c r="G844">
        <v>-114.4408</v>
      </c>
      <c r="H844">
        <v>-7</v>
      </c>
      <c r="I844">
        <v>851.5</v>
      </c>
      <c r="J844" t="str">
        <f>HYPERLINK("https://climate.onebuilding.org/WMO_Region_4_North_and_Central_America/CAN_Canada/AB_Alberta/CAN_AB_Breton.Plots.712330_TMYx.2007-2021.zip")</f>
        <v>https://climate.onebuilding.org/WMO_Region_4_North_and_Central_America/CAN_Canada/AB_Alberta/CAN_AB_Breton.Plots.712330_TMYx.2007-2021.zip</v>
      </c>
    </row>
    <row r="845" spans="1:10" x14ac:dyDescent="0.25">
      <c r="A845" t="s">
        <v>6</v>
      </c>
      <c r="B845" t="s">
        <v>17</v>
      </c>
      <c r="C845" t="s">
        <v>441</v>
      </c>
      <c r="D845">
        <v>712330</v>
      </c>
      <c r="E845" t="s">
        <v>10</v>
      </c>
      <c r="F845">
        <v>53.089399999999998</v>
      </c>
      <c r="G845">
        <v>-114.4408</v>
      </c>
      <c r="H845">
        <v>-7</v>
      </c>
      <c r="I845">
        <v>851.5</v>
      </c>
      <c r="J845" t="str">
        <f>HYPERLINK("https://climate.onebuilding.org/WMO_Region_4_North_and_Central_America/CAN_Canada/AB_Alberta/CAN_AB_Breton.Plots.712330_TMYx.2009-2023.zip")</f>
        <v>https://climate.onebuilding.org/WMO_Region_4_North_and_Central_America/CAN_Canada/AB_Alberta/CAN_AB_Breton.Plots.712330_TMYx.2009-2023.zip</v>
      </c>
    </row>
    <row r="846" spans="1:10" x14ac:dyDescent="0.25">
      <c r="A846" t="s">
        <v>6</v>
      </c>
      <c r="B846" t="s">
        <v>17</v>
      </c>
      <c r="C846" t="s">
        <v>441</v>
      </c>
      <c r="D846">
        <v>712330</v>
      </c>
      <c r="E846" t="s">
        <v>10</v>
      </c>
      <c r="F846">
        <v>53.089399999999998</v>
      </c>
      <c r="G846">
        <v>-114.4408</v>
      </c>
      <c r="H846">
        <v>-7</v>
      </c>
      <c r="I846">
        <v>851.5</v>
      </c>
      <c r="J846" t="str">
        <f>HYPERLINK("https://climate.onebuilding.org/WMO_Region_4_North_and_Central_America/CAN_Canada/AB_Alberta/CAN_AB_Breton.Plots.712330_TMYx.zip")</f>
        <v>https://climate.onebuilding.org/WMO_Region_4_North_and_Central_America/CAN_Canada/AB_Alberta/CAN_AB_Breton.Plots.712330_TMYx.zip</v>
      </c>
    </row>
    <row r="847" spans="1:10" x14ac:dyDescent="0.25">
      <c r="A847" t="s">
        <v>6</v>
      </c>
      <c r="B847" t="s">
        <v>17</v>
      </c>
      <c r="C847" t="s">
        <v>443</v>
      </c>
      <c r="D847">
        <v>712340</v>
      </c>
      <c r="E847" t="s">
        <v>444</v>
      </c>
      <c r="F847">
        <v>50.003599999999999</v>
      </c>
      <c r="G847">
        <v>-113.6386</v>
      </c>
      <c r="H847">
        <v>-7</v>
      </c>
      <c r="I847">
        <v>1009</v>
      </c>
      <c r="J847" t="str">
        <f>HYPERLINK("https://climate.onebuilding.org/WMO_Region_4_North_and_Central_America/CAN_Canada/AB_Alberta/CAN_AB_Claresholm.AP.712340_TMYx.2004-2018.zip")</f>
        <v>https://climate.onebuilding.org/WMO_Region_4_North_and_Central_America/CAN_Canada/AB_Alberta/CAN_AB_Claresholm.AP.712340_TMYx.2004-2018.zip</v>
      </c>
    </row>
    <row r="848" spans="1:10" x14ac:dyDescent="0.25">
      <c r="A848" t="s">
        <v>6</v>
      </c>
      <c r="B848" t="s">
        <v>17</v>
      </c>
      <c r="C848" t="s">
        <v>443</v>
      </c>
      <c r="D848">
        <v>712340</v>
      </c>
      <c r="E848" t="s">
        <v>10</v>
      </c>
      <c r="F848">
        <v>50.003599999999999</v>
      </c>
      <c r="G848">
        <v>-113.6386</v>
      </c>
      <c r="H848">
        <v>-7</v>
      </c>
      <c r="I848">
        <v>1009</v>
      </c>
      <c r="J848" t="str">
        <f>HYPERLINK("https://climate.onebuilding.org/WMO_Region_4_North_and_Central_America/CAN_Canada/AB_Alberta/CAN_AB_Claresholm.AP.712340_TMYx.2007-2021.zip")</f>
        <v>https://climate.onebuilding.org/WMO_Region_4_North_and_Central_America/CAN_Canada/AB_Alberta/CAN_AB_Claresholm.AP.712340_TMYx.2007-2021.zip</v>
      </c>
    </row>
    <row r="849" spans="1:10" x14ac:dyDescent="0.25">
      <c r="A849" t="s">
        <v>6</v>
      </c>
      <c r="B849" t="s">
        <v>17</v>
      </c>
      <c r="C849" t="s">
        <v>443</v>
      </c>
      <c r="D849">
        <v>712340</v>
      </c>
      <c r="E849" t="s">
        <v>10</v>
      </c>
      <c r="F849">
        <v>50.003599999999999</v>
      </c>
      <c r="G849">
        <v>-113.6386</v>
      </c>
      <c r="H849">
        <v>-7</v>
      </c>
      <c r="I849">
        <v>1009</v>
      </c>
      <c r="J849" t="str">
        <f>HYPERLINK("https://climate.onebuilding.org/WMO_Region_4_North_and_Central_America/CAN_Canada/AB_Alberta/CAN_AB_Claresholm.AP.712340_TMYx.2009-2023.zip")</f>
        <v>https://climate.onebuilding.org/WMO_Region_4_North_and_Central_America/CAN_Canada/AB_Alberta/CAN_AB_Claresholm.AP.712340_TMYx.2009-2023.zip</v>
      </c>
    </row>
    <row r="850" spans="1:10" x14ac:dyDescent="0.25">
      <c r="A850" t="s">
        <v>6</v>
      </c>
      <c r="B850" t="s">
        <v>17</v>
      </c>
      <c r="C850" t="s">
        <v>443</v>
      </c>
      <c r="D850">
        <v>712340</v>
      </c>
      <c r="E850" t="s">
        <v>10</v>
      </c>
      <c r="F850">
        <v>50.003599999999999</v>
      </c>
      <c r="G850">
        <v>-113.6386</v>
      </c>
      <c r="H850">
        <v>-7</v>
      </c>
      <c r="I850">
        <v>1009</v>
      </c>
      <c r="J850" t="str">
        <f>HYPERLINK("https://climate.onebuilding.org/WMO_Region_4_North_and_Central_America/CAN_Canada/AB_Alberta/CAN_AB_Claresholm.AP.712340_TMYx.zip")</f>
        <v>https://climate.onebuilding.org/WMO_Region_4_North_and_Central_America/CAN_Canada/AB_Alberta/CAN_AB_Claresholm.AP.712340_TMYx.zip</v>
      </c>
    </row>
    <row r="851" spans="1:10" x14ac:dyDescent="0.25">
      <c r="A851" t="s">
        <v>6</v>
      </c>
      <c r="B851" t="s">
        <v>17</v>
      </c>
      <c r="C851" t="s">
        <v>445</v>
      </c>
      <c r="D851">
        <v>712350</v>
      </c>
      <c r="E851" t="s">
        <v>446</v>
      </c>
      <c r="F851">
        <v>51.076099999999997</v>
      </c>
      <c r="G851">
        <v>-114.2222</v>
      </c>
      <c r="H851">
        <v>-7</v>
      </c>
      <c r="I851">
        <v>1235</v>
      </c>
      <c r="J851" t="str">
        <f>HYPERLINK("https://climate.onebuilding.org/WMO_Region_4_North_and_Central_America/CAN_Canada/AB_Alberta/CAN_AB_Calgary-Canadian.Olympic.Park.Upper.712350_TMYx.2004-2018.zip")</f>
        <v>https://climate.onebuilding.org/WMO_Region_4_North_and_Central_America/CAN_Canada/AB_Alberta/CAN_AB_Calgary-Canadian.Olympic.Park.Upper.712350_TMYx.2004-2018.zip</v>
      </c>
    </row>
    <row r="852" spans="1:10" x14ac:dyDescent="0.25">
      <c r="A852" t="s">
        <v>6</v>
      </c>
      <c r="B852" t="s">
        <v>17</v>
      </c>
      <c r="C852" t="s">
        <v>445</v>
      </c>
      <c r="D852">
        <v>712350</v>
      </c>
      <c r="E852" t="s">
        <v>10</v>
      </c>
      <c r="F852">
        <v>51.076099999999997</v>
      </c>
      <c r="G852">
        <v>-114.2222</v>
      </c>
      <c r="H852">
        <v>-7</v>
      </c>
      <c r="I852">
        <v>1235</v>
      </c>
      <c r="J852" t="str">
        <f>HYPERLINK("https://climate.onebuilding.org/WMO_Region_4_North_and_Central_America/CAN_Canada/AB_Alberta/CAN_AB_Calgary-Canadian.Olympic.Park.Upper.712350_TMYx.2007-2021.zip")</f>
        <v>https://climate.onebuilding.org/WMO_Region_4_North_and_Central_America/CAN_Canada/AB_Alberta/CAN_AB_Calgary-Canadian.Olympic.Park.Upper.712350_TMYx.2007-2021.zip</v>
      </c>
    </row>
    <row r="853" spans="1:10" x14ac:dyDescent="0.25">
      <c r="A853" t="s">
        <v>6</v>
      </c>
      <c r="B853" t="s">
        <v>17</v>
      </c>
      <c r="C853" t="s">
        <v>445</v>
      </c>
      <c r="D853">
        <v>712350</v>
      </c>
      <c r="E853" t="s">
        <v>10</v>
      </c>
      <c r="F853">
        <v>51.076099999999997</v>
      </c>
      <c r="G853">
        <v>-114.2222</v>
      </c>
      <c r="H853">
        <v>-7</v>
      </c>
      <c r="I853">
        <v>1235</v>
      </c>
      <c r="J853" t="str">
        <f>HYPERLINK("https://climate.onebuilding.org/WMO_Region_4_North_and_Central_America/CAN_Canada/AB_Alberta/CAN_AB_Calgary-Canadian.Olympic.Park.Upper.712350_TMYx.2009-2023.zip")</f>
        <v>https://climate.onebuilding.org/WMO_Region_4_North_and_Central_America/CAN_Canada/AB_Alberta/CAN_AB_Calgary-Canadian.Olympic.Park.Upper.712350_TMYx.2009-2023.zip</v>
      </c>
    </row>
    <row r="854" spans="1:10" x14ac:dyDescent="0.25">
      <c r="A854" t="s">
        <v>6</v>
      </c>
      <c r="B854" t="s">
        <v>17</v>
      </c>
      <c r="C854" t="s">
        <v>445</v>
      </c>
      <c r="D854">
        <v>712350</v>
      </c>
      <c r="E854" t="s">
        <v>10</v>
      </c>
      <c r="F854">
        <v>51.076099999999997</v>
      </c>
      <c r="G854">
        <v>-114.2222</v>
      </c>
      <c r="H854">
        <v>-7</v>
      </c>
      <c r="I854">
        <v>1235</v>
      </c>
      <c r="J854" t="str">
        <f>HYPERLINK("https://climate.onebuilding.org/WMO_Region_4_North_and_Central_America/CAN_Canada/AB_Alberta/CAN_AB_Calgary-Canadian.Olympic.Park.Upper.712350_TMYx.zip")</f>
        <v>https://climate.onebuilding.org/WMO_Region_4_North_and_Central_America/CAN_Canada/AB_Alberta/CAN_AB_Calgary-Canadian.Olympic.Park.Upper.712350_TMYx.zip</v>
      </c>
    </row>
    <row r="855" spans="1:10" x14ac:dyDescent="0.25">
      <c r="A855" t="s">
        <v>6</v>
      </c>
      <c r="B855" t="s">
        <v>17</v>
      </c>
      <c r="C855" t="s">
        <v>447</v>
      </c>
      <c r="D855">
        <v>712360</v>
      </c>
      <c r="E855" t="s">
        <v>448</v>
      </c>
      <c r="F855">
        <v>49.627499999999998</v>
      </c>
      <c r="G855">
        <v>-114.4819</v>
      </c>
      <c r="H855">
        <v>-7</v>
      </c>
      <c r="I855">
        <v>1303</v>
      </c>
      <c r="J855" t="str">
        <f>HYPERLINK("https://climate.onebuilding.org/WMO_Region_4_North_and_Central_America/CAN_Canada/AB_Alberta/CAN_AB_Crowsnest.712360_TMYx.2004-2018.zip")</f>
        <v>https://climate.onebuilding.org/WMO_Region_4_North_and_Central_America/CAN_Canada/AB_Alberta/CAN_AB_Crowsnest.712360_TMYx.2004-2018.zip</v>
      </c>
    </row>
    <row r="856" spans="1:10" x14ac:dyDescent="0.25">
      <c r="A856" t="s">
        <v>6</v>
      </c>
      <c r="B856" t="s">
        <v>17</v>
      </c>
      <c r="C856" t="s">
        <v>447</v>
      </c>
      <c r="D856">
        <v>712360</v>
      </c>
      <c r="E856" t="s">
        <v>10</v>
      </c>
      <c r="F856">
        <v>49.63</v>
      </c>
      <c r="G856">
        <v>-114.48</v>
      </c>
      <c r="H856">
        <v>-7</v>
      </c>
      <c r="I856">
        <v>1303</v>
      </c>
      <c r="J856" t="str">
        <f>HYPERLINK("https://climate.onebuilding.org/WMO_Region_4_North_and_Central_America/CAN_Canada/AB_Alberta/CAN_AB_Crowsnest.712360_TMYx.2007-2021.zip")</f>
        <v>https://climate.onebuilding.org/WMO_Region_4_North_and_Central_America/CAN_Canada/AB_Alberta/CAN_AB_Crowsnest.712360_TMYx.2007-2021.zip</v>
      </c>
    </row>
    <row r="857" spans="1:10" x14ac:dyDescent="0.25">
      <c r="A857" t="s">
        <v>6</v>
      </c>
      <c r="B857" t="s">
        <v>17</v>
      </c>
      <c r="C857" t="s">
        <v>447</v>
      </c>
      <c r="D857">
        <v>712360</v>
      </c>
      <c r="E857" t="s">
        <v>10</v>
      </c>
      <c r="F857">
        <v>49.63</v>
      </c>
      <c r="G857">
        <v>-114.48</v>
      </c>
      <c r="H857">
        <v>-7</v>
      </c>
      <c r="I857">
        <v>1303</v>
      </c>
      <c r="J857" t="str">
        <f>HYPERLINK("https://climate.onebuilding.org/WMO_Region_4_North_and_Central_America/CAN_Canada/AB_Alberta/CAN_AB_Crowsnest.712360_TMYx.2009-2023.zip")</f>
        <v>https://climate.onebuilding.org/WMO_Region_4_North_and_Central_America/CAN_Canada/AB_Alberta/CAN_AB_Crowsnest.712360_TMYx.2009-2023.zip</v>
      </c>
    </row>
    <row r="858" spans="1:10" x14ac:dyDescent="0.25">
      <c r="A858" t="s">
        <v>6</v>
      </c>
      <c r="B858" t="s">
        <v>17</v>
      </c>
      <c r="C858" t="s">
        <v>447</v>
      </c>
      <c r="D858">
        <v>712360</v>
      </c>
      <c r="E858" t="s">
        <v>10</v>
      </c>
      <c r="F858">
        <v>49.63</v>
      </c>
      <c r="G858">
        <v>-114.48</v>
      </c>
      <c r="H858">
        <v>-7</v>
      </c>
      <c r="I858">
        <v>1303</v>
      </c>
      <c r="J858" t="str">
        <f>HYPERLINK("https://climate.onebuilding.org/WMO_Region_4_North_and_Central_America/CAN_Canada/AB_Alberta/CAN_AB_Crowsnest.712360_TMYx.zip")</f>
        <v>https://climate.onebuilding.org/WMO_Region_4_North_and_Central_America/CAN_Canada/AB_Alberta/CAN_AB_Crowsnest.712360_TMYx.zip</v>
      </c>
    </row>
    <row r="859" spans="1:10" x14ac:dyDescent="0.25">
      <c r="A859" t="s">
        <v>6</v>
      </c>
      <c r="B859" t="s">
        <v>17</v>
      </c>
      <c r="C859" t="s">
        <v>449</v>
      </c>
      <c r="D859">
        <v>712370</v>
      </c>
      <c r="E859" t="s">
        <v>450</v>
      </c>
      <c r="F859">
        <v>51.433</v>
      </c>
      <c r="G859">
        <v>-112.667</v>
      </c>
      <c r="H859">
        <v>-7</v>
      </c>
      <c r="I859">
        <v>678</v>
      </c>
      <c r="J859" t="str">
        <f>HYPERLINK("https://climate.onebuilding.org/WMO_Region_4_North_and_Central_America/CAN_Canada/AB_Alberta/CAN_AB_Drumheller.East.712370_TMYx.2004-2018.zip")</f>
        <v>https://climate.onebuilding.org/WMO_Region_4_North_and_Central_America/CAN_Canada/AB_Alberta/CAN_AB_Drumheller.East.712370_TMYx.2004-2018.zip</v>
      </c>
    </row>
    <row r="860" spans="1:10" x14ac:dyDescent="0.25">
      <c r="A860" t="s">
        <v>6</v>
      </c>
      <c r="B860" t="s">
        <v>17</v>
      </c>
      <c r="C860" t="s">
        <v>449</v>
      </c>
      <c r="D860">
        <v>712370</v>
      </c>
      <c r="E860" t="s">
        <v>10</v>
      </c>
      <c r="F860">
        <v>51.433</v>
      </c>
      <c r="G860">
        <v>-112.667</v>
      </c>
      <c r="H860">
        <v>-7</v>
      </c>
      <c r="I860">
        <v>678</v>
      </c>
      <c r="J860" t="str">
        <f>HYPERLINK("https://climate.onebuilding.org/WMO_Region_4_North_and_Central_America/CAN_Canada/AB_Alberta/CAN_AB_Drumheller.East.712370_TMYx.2007-2021.zip")</f>
        <v>https://climate.onebuilding.org/WMO_Region_4_North_and_Central_America/CAN_Canada/AB_Alberta/CAN_AB_Drumheller.East.712370_TMYx.2007-2021.zip</v>
      </c>
    </row>
    <row r="861" spans="1:10" x14ac:dyDescent="0.25">
      <c r="A861" t="s">
        <v>6</v>
      </c>
      <c r="B861" t="s">
        <v>17</v>
      </c>
      <c r="C861" t="s">
        <v>449</v>
      </c>
      <c r="D861">
        <v>712370</v>
      </c>
      <c r="E861" t="s">
        <v>10</v>
      </c>
      <c r="F861">
        <v>51.433</v>
      </c>
      <c r="G861">
        <v>-112.667</v>
      </c>
      <c r="H861">
        <v>-7</v>
      </c>
      <c r="I861">
        <v>678</v>
      </c>
      <c r="J861" t="str">
        <f>HYPERLINK("https://climate.onebuilding.org/WMO_Region_4_North_and_Central_America/CAN_Canada/AB_Alberta/CAN_AB_Drumheller.East.712370_TMYx.2009-2023.zip")</f>
        <v>https://climate.onebuilding.org/WMO_Region_4_North_and_Central_America/CAN_Canada/AB_Alberta/CAN_AB_Drumheller.East.712370_TMYx.2009-2023.zip</v>
      </c>
    </row>
    <row r="862" spans="1:10" x14ac:dyDescent="0.25">
      <c r="A862" t="s">
        <v>6</v>
      </c>
      <c r="B862" t="s">
        <v>17</v>
      </c>
      <c r="C862" t="s">
        <v>449</v>
      </c>
      <c r="D862">
        <v>712370</v>
      </c>
      <c r="E862" t="s">
        <v>10</v>
      </c>
      <c r="F862">
        <v>51.433</v>
      </c>
      <c r="G862">
        <v>-112.667</v>
      </c>
      <c r="H862">
        <v>-7</v>
      </c>
      <c r="I862">
        <v>678</v>
      </c>
      <c r="J862" t="str">
        <f>HYPERLINK("https://climate.onebuilding.org/WMO_Region_4_North_and_Central_America/CAN_Canada/AB_Alberta/CAN_AB_Drumheller.East.712370_TMYx.zip")</f>
        <v>https://climate.onebuilding.org/WMO_Region_4_North_and_Central_America/CAN_Canada/AB_Alberta/CAN_AB_Drumheller.East.712370_TMYx.zip</v>
      </c>
    </row>
    <row r="863" spans="1:10" x14ac:dyDescent="0.25">
      <c r="A863" t="s">
        <v>6</v>
      </c>
      <c r="B863" t="s">
        <v>17</v>
      </c>
      <c r="C863" t="s">
        <v>451</v>
      </c>
      <c r="D863">
        <v>712380</v>
      </c>
      <c r="E863" t="s">
        <v>452</v>
      </c>
      <c r="F863">
        <v>53.6828</v>
      </c>
      <c r="G863">
        <v>-112.8681</v>
      </c>
      <c r="H863">
        <v>-7</v>
      </c>
      <c r="I863">
        <v>716.2</v>
      </c>
      <c r="J863" t="str">
        <f>HYPERLINK("https://climate.onebuilding.org/WMO_Region_4_North_and_Central_America/CAN_Canada/AB_Alberta/CAN_AB_Elk.Island.Natl.Park.712380_TMYx.2004-2018.zip")</f>
        <v>https://climate.onebuilding.org/WMO_Region_4_North_and_Central_America/CAN_Canada/AB_Alberta/CAN_AB_Elk.Island.Natl.Park.712380_TMYx.2004-2018.zip</v>
      </c>
    </row>
    <row r="864" spans="1:10" x14ac:dyDescent="0.25">
      <c r="A864" t="s">
        <v>6</v>
      </c>
      <c r="B864" t="s">
        <v>17</v>
      </c>
      <c r="C864" t="s">
        <v>451</v>
      </c>
      <c r="D864">
        <v>712380</v>
      </c>
      <c r="E864" t="s">
        <v>10</v>
      </c>
      <c r="F864">
        <v>53.6828</v>
      </c>
      <c r="G864">
        <v>-112.8681</v>
      </c>
      <c r="H864">
        <v>-7</v>
      </c>
      <c r="I864">
        <v>716.2</v>
      </c>
      <c r="J864" t="str">
        <f>HYPERLINK("https://climate.onebuilding.org/WMO_Region_4_North_and_Central_America/CAN_Canada/AB_Alberta/CAN_AB_Elk.Island.Natl.Park.712380_TMYx.2007-2021.zip")</f>
        <v>https://climate.onebuilding.org/WMO_Region_4_North_and_Central_America/CAN_Canada/AB_Alberta/CAN_AB_Elk.Island.Natl.Park.712380_TMYx.2007-2021.zip</v>
      </c>
    </row>
    <row r="865" spans="1:10" x14ac:dyDescent="0.25">
      <c r="A865" t="s">
        <v>6</v>
      </c>
      <c r="B865" t="s">
        <v>17</v>
      </c>
      <c r="C865" t="s">
        <v>451</v>
      </c>
      <c r="D865">
        <v>712380</v>
      </c>
      <c r="E865" t="s">
        <v>10</v>
      </c>
      <c r="F865">
        <v>53.6828</v>
      </c>
      <c r="G865">
        <v>-112.8681</v>
      </c>
      <c r="H865">
        <v>-7</v>
      </c>
      <c r="I865">
        <v>716.2</v>
      </c>
      <c r="J865" t="str">
        <f>HYPERLINK("https://climate.onebuilding.org/WMO_Region_4_North_and_Central_America/CAN_Canada/AB_Alberta/CAN_AB_Elk.Island.Natl.Park.712380_TMYx.2009-2023.zip")</f>
        <v>https://climate.onebuilding.org/WMO_Region_4_North_and_Central_America/CAN_Canada/AB_Alberta/CAN_AB_Elk.Island.Natl.Park.712380_TMYx.2009-2023.zip</v>
      </c>
    </row>
    <row r="866" spans="1:10" x14ac:dyDescent="0.25">
      <c r="A866" t="s">
        <v>6</v>
      </c>
      <c r="B866" t="s">
        <v>17</v>
      </c>
      <c r="C866" t="s">
        <v>451</v>
      </c>
      <c r="D866">
        <v>712380</v>
      </c>
      <c r="E866" t="s">
        <v>10</v>
      </c>
      <c r="F866">
        <v>53.6828</v>
      </c>
      <c r="G866">
        <v>-112.8681</v>
      </c>
      <c r="H866">
        <v>-7</v>
      </c>
      <c r="I866">
        <v>716.2</v>
      </c>
      <c r="J866" t="str">
        <f>HYPERLINK("https://climate.onebuilding.org/WMO_Region_4_North_and_Central_America/CAN_Canada/AB_Alberta/CAN_AB_Elk.Island.Natl.Park.712380_TMYx.zip")</f>
        <v>https://climate.onebuilding.org/WMO_Region_4_North_and_Central_America/CAN_Canada/AB_Alberta/CAN_AB_Elk.Island.Natl.Park.712380_TMYx.zip</v>
      </c>
    </row>
    <row r="867" spans="1:10" x14ac:dyDescent="0.25">
      <c r="A867" t="s">
        <v>6</v>
      </c>
      <c r="B867" t="s">
        <v>94</v>
      </c>
      <c r="C867" t="s">
        <v>453</v>
      </c>
      <c r="D867">
        <v>712390</v>
      </c>
      <c r="E867" t="s">
        <v>454</v>
      </c>
      <c r="F867">
        <v>49.55</v>
      </c>
      <c r="G867">
        <v>-99.066999999999993</v>
      </c>
      <c r="H867">
        <v>-7</v>
      </c>
      <c r="I867">
        <v>374</v>
      </c>
      <c r="J867" t="str">
        <f>HYPERLINK("https://climate.onebuilding.org/WMO_Region_4_North_and_Central_America/CAN_Canada/MB_Manitoba/CAN_MB_Cypress.River.RCS.712390_TMYx.2004-2018.zip")</f>
        <v>https://climate.onebuilding.org/WMO_Region_4_North_and_Central_America/CAN_Canada/MB_Manitoba/CAN_MB_Cypress.River.RCS.712390_TMYx.2004-2018.zip</v>
      </c>
    </row>
    <row r="868" spans="1:10" x14ac:dyDescent="0.25">
      <c r="A868" t="s">
        <v>6</v>
      </c>
      <c r="B868" t="s">
        <v>94</v>
      </c>
      <c r="C868" t="s">
        <v>453</v>
      </c>
      <c r="D868">
        <v>712390</v>
      </c>
      <c r="E868" t="s">
        <v>10</v>
      </c>
      <c r="F868">
        <v>49.562220000000003</v>
      </c>
      <c r="G868">
        <v>-99.073890000000006</v>
      </c>
      <c r="H868">
        <v>-6</v>
      </c>
      <c r="I868">
        <v>374</v>
      </c>
      <c r="J868" t="str">
        <f>HYPERLINK("https://climate.onebuilding.org/WMO_Region_4_North_and_Central_America/CAN_Canada/MB_Manitoba/CAN_MB_Cypress.River.RCS.712390_TMYx.2007-2021.zip")</f>
        <v>https://climate.onebuilding.org/WMO_Region_4_North_and_Central_America/CAN_Canada/MB_Manitoba/CAN_MB_Cypress.River.RCS.712390_TMYx.2007-2021.zip</v>
      </c>
    </row>
    <row r="869" spans="1:10" x14ac:dyDescent="0.25">
      <c r="A869" t="s">
        <v>6</v>
      </c>
      <c r="B869" t="s">
        <v>94</v>
      </c>
      <c r="C869" t="s">
        <v>453</v>
      </c>
      <c r="D869">
        <v>712390</v>
      </c>
      <c r="E869" t="s">
        <v>10</v>
      </c>
      <c r="F869">
        <v>49.562220000000003</v>
      </c>
      <c r="G869">
        <v>-99.073890000000006</v>
      </c>
      <c r="H869">
        <v>-6</v>
      </c>
      <c r="I869">
        <v>374</v>
      </c>
      <c r="J869" t="str">
        <f>HYPERLINK("https://climate.onebuilding.org/WMO_Region_4_North_and_Central_America/CAN_Canada/MB_Manitoba/CAN_MB_Cypress.River.RCS.712390_TMYx.2009-2023.zip")</f>
        <v>https://climate.onebuilding.org/WMO_Region_4_North_and_Central_America/CAN_Canada/MB_Manitoba/CAN_MB_Cypress.River.RCS.712390_TMYx.2009-2023.zip</v>
      </c>
    </row>
    <row r="870" spans="1:10" x14ac:dyDescent="0.25">
      <c r="A870" t="s">
        <v>6</v>
      </c>
      <c r="B870" t="s">
        <v>94</v>
      </c>
      <c r="C870" t="s">
        <v>453</v>
      </c>
      <c r="D870">
        <v>712390</v>
      </c>
      <c r="E870" t="s">
        <v>10</v>
      </c>
      <c r="F870">
        <v>49.562220000000003</v>
      </c>
      <c r="G870">
        <v>-99.073890000000006</v>
      </c>
      <c r="H870">
        <v>-6</v>
      </c>
      <c r="I870">
        <v>374</v>
      </c>
      <c r="J870" t="str">
        <f>HYPERLINK("https://climate.onebuilding.org/WMO_Region_4_North_and_Central_America/CAN_Canada/MB_Manitoba/CAN_MB_Cypress.River.RCS.712390_TMYx.zip")</f>
        <v>https://climate.onebuilding.org/WMO_Region_4_North_and_Central_America/CAN_Canada/MB_Manitoba/CAN_MB_Cypress.River.RCS.712390_TMYx.zip</v>
      </c>
    </row>
    <row r="871" spans="1:10" x14ac:dyDescent="0.25">
      <c r="A871" t="s">
        <v>6</v>
      </c>
      <c r="B871" t="s">
        <v>17</v>
      </c>
      <c r="C871" t="s">
        <v>455</v>
      </c>
      <c r="D871">
        <v>712400</v>
      </c>
      <c r="E871" t="s">
        <v>456</v>
      </c>
      <c r="F871">
        <v>51.669699999999999</v>
      </c>
      <c r="G871">
        <v>-110.20610000000001</v>
      </c>
      <c r="H871">
        <v>-7</v>
      </c>
      <c r="I871">
        <v>707</v>
      </c>
      <c r="J871" t="str">
        <f>HYPERLINK("https://climate.onebuilding.org/WMO_Region_4_North_and_Central_America/CAN_Canada/AB_Alberta/CAN_AB_Esther.712400_TMYx.2004-2018.zip")</f>
        <v>https://climate.onebuilding.org/WMO_Region_4_North_and_Central_America/CAN_Canada/AB_Alberta/CAN_AB_Esther.712400_TMYx.2004-2018.zip</v>
      </c>
    </row>
    <row r="872" spans="1:10" x14ac:dyDescent="0.25">
      <c r="A872" t="s">
        <v>6</v>
      </c>
      <c r="B872" t="s">
        <v>17</v>
      </c>
      <c r="C872" t="s">
        <v>455</v>
      </c>
      <c r="D872">
        <v>712400</v>
      </c>
      <c r="E872" t="s">
        <v>10</v>
      </c>
      <c r="F872">
        <v>51.669699999999999</v>
      </c>
      <c r="G872">
        <v>-110.20610000000001</v>
      </c>
      <c r="H872">
        <v>-7</v>
      </c>
      <c r="I872">
        <v>707</v>
      </c>
      <c r="J872" t="str">
        <f>HYPERLINK("https://climate.onebuilding.org/WMO_Region_4_North_and_Central_America/CAN_Canada/AB_Alberta/CAN_AB_Esther.712400_TMYx.2007-2021.zip")</f>
        <v>https://climate.onebuilding.org/WMO_Region_4_North_and_Central_America/CAN_Canada/AB_Alberta/CAN_AB_Esther.712400_TMYx.2007-2021.zip</v>
      </c>
    </row>
    <row r="873" spans="1:10" x14ac:dyDescent="0.25">
      <c r="A873" t="s">
        <v>6</v>
      </c>
      <c r="B873" t="s">
        <v>17</v>
      </c>
      <c r="C873" t="s">
        <v>455</v>
      </c>
      <c r="D873">
        <v>712400</v>
      </c>
      <c r="E873" t="s">
        <v>10</v>
      </c>
      <c r="F873">
        <v>51.669699999999999</v>
      </c>
      <c r="G873">
        <v>-110.20610000000001</v>
      </c>
      <c r="H873">
        <v>-7</v>
      </c>
      <c r="I873">
        <v>707</v>
      </c>
      <c r="J873" t="str">
        <f>HYPERLINK("https://climate.onebuilding.org/WMO_Region_4_North_and_Central_America/CAN_Canada/AB_Alberta/CAN_AB_Esther.712400_TMYx.2009-2023.zip")</f>
        <v>https://climate.onebuilding.org/WMO_Region_4_North_and_Central_America/CAN_Canada/AB_Alberta/CAN_AB_Esther.712400_TMYx.2009-2023.zip</v>
      </c>
    </row>
    <row r="874" spans="1:10" x14ac:dyDescent="0.25">
      <c r="A874" t="s">
        <v>6</v>
      </c>
      <c r="B874" t="s">
        <v>17</v>
      </c>
      <c r="C874" t="s">
        <v>455</v>
      </c>
      <c r="D874">
        <v>712400</v>
      </c>
      <c r="E874" t="s">
        <v>10</v>
      </c>
      <c r="F874">
        <v>51.669699999999999</v>
      </c>
      <c r="G874">
        <v>-110.20610000000001</v>
      </c>
      <c r="H874">
        <v>-7</v>
      </c>
      <c r="I874">
        <v>707</v>
      </c>
      <c r="J874" t="str">
        <f>HYPERLINK("https://climate.onebuilding.org/WMO_Region_4_North_and_Central_America/CAN_Canada/AB_Alberta/CAN_AB_Esther.712400_TMYx.zip")</f>
        <v>https://climate.onebuilding.org/WMO_Region_4_North_and_Central_America/CAN_Canada/AB_Alberta/CAN_AB_Esther.712400_TMYx.zip</v>
      </c>
    </row>
    <row r="875" spans="1:10" x14ac:dyDescent="0.25">
      <c r="A875" t="s">
        <v>6</v>
      </c>
      <c r="B875" t="s">
        <v>17</v>
      </c>
      <c r="C875" t="s">
        <v>457</v>
      </c>
      <c r="D875">
        <v>712410</v>
      </c>
      <c r="E875" t="s">
        <v>10</v>
      </c>
      <c r="F875">
        <v>53.448999999999998</v>
      </c>
      <c r="G875">
        <v>-114.464</v>
      </c>
      <c r="H875">
        <v>-7</v>
      </c>
      <c r="I875">
        <v>746.8</v>
      </c>
      <c r="J875" t="str">
        <f>HYPERLINK("https://climate.onebuilding.org/WMO_Region_4_North_and_Central_America/CAN_Canada/AB_Alberta/CAN_AB_Highvale.712410_TMYx.zip")</f>
        <v>https://climate.onebuilding.org/WMO_Region_4_North_and_Central_America/CAN_Canada/AB_Alberta/CAN_AB_Highvale.712410_TMYx.zip</v>
      </c>
    </row>
    <row r="876" spans="1:10" x14ac:dyDescent="0.25">
      <c r="A876" t="s">
        <v>6</v>
      </c>
      <c r="B876" t="s">
        <v>17</v>
      </c>
      <c r="C876" t="s">
        <v>458</v>
      </c>
      <c r="D876">
        <v>712420</v>
      </c>
      <c r="E876" t="s">
        <v>459</v>
      </c>
      <c r="F876">
        <v>52.448900000000002</v>
      </c>
      <c r="G876">
        <v>-113.75579999999999</v>
      </c>
      <c r="H876">
        <v>-7</v>
      </c>
      <c r="I876">
        <v>860</v>
      </c>
      <c r="J876" t="str">
        <f>HYPERLINK("https://climate.onebuilding.org/WMO_Region_4_North_and_Central_America/CAN_Canada/AB_Alberta/CAN_AB_Lacombe.712420_TMYx.2004-2018.zip")</f>
        <v>https://climate.onebuilding.org/WMO_Region_4_North_and_Central_America/CAN_Canada/AB_Alberta/CAN_AB_Lacombe.712420_TMYx.2004-2018.zip</v>
      </c>
    </row>
    <row r="877" spans="1:10" x14ac:dyDescent="0.25">
      <c r="A877" t="s">
        <v>6</v>
      </c>
      <c r="B877" t="s">
        <v>17</v>
      </c>
      <c r="C877" t="s">
        <v>458</v>
      </c>
      <c r="D877">
        <v>712420</v>
      </c>
      <c r="E877" t="s">
        <v>10</v>
      </c>
      <c r="F877">
        <v>52.449199999999998</v>
      </c>
      <c r="G877">
        <v>-113.7569</v>
      </c>
      <c r="H877">
        <v>-7</v>
      </c>
      <c r="I877">
        <v>860</v>
      </c>
      <c r="J877" t="str">
        <f>HYPERLINK("https://climate.onebuilding.org/WMO_Region_4_North_and_Central_America/CAN_Canada/AB_Alberta/CAN_AB_Lacombe.712420_TMYx.2007-2021.zip")</f>
        <v>https://climate.onebuilding.org/WMO_Region_4_North_and_Central_America/CAN_Canada/AB_Alberta/CAN_AB_Lacombe.712420_TMYx.2007-2021.zip</v>
      </c>
    </row>
    <row r="878" spans="1:10" x14ac:dyDescent="0.25">
      <c r="A878" t="s">
        <v>6</v>
      </c>
      <c r="B878" t="s">
        <v>17</v>
      </c>
      <c r="C878" t="s">
        <v>458</v>
      </c>
      <c r="D878">
        <v>712420</v>
      </c>
      <c r="E878" t="s">
        <v>10</v>
      </c>
      <c r="F878">
        <v>52.449199999999998</v>
      </c>
      <c r="G878">
        <v>-113.7569</v>
      </c>
      <c r="H878">
        <v>-7</v>
      </c>
      <c r="I878">
        <v>860</v>
      </c>
      <c r="J878" t="str">
        <f>HYPERLINK("https://climate.onebuilding.org/WMO_Region_4_North_and_Central_America/CAN_Canada/AB_Alberta/CAN_AB_Lacombe.712420_TMYx.2009-2023.zip")</f>
        <v>https://climate.onebuilding.org/WMO_Region_4_North_and_Central_America/CAN_Canada/AB_Alberta/CAN_AB_Lacombe.712420_TMYx.2009-2023.zip</v>
      </c>
    </row>
    <row r="879" spans="1:10" x14ac:dyDescent="0.25">
      <c r="A879" t="s">
        <v>6</v>
      </c>
      <c r="B879" t="s">
        <v>17</v>
      </c>
      <c r="C879" t="s">
        <v>458</v>
      </c>
      <c r="D879">
        <v>712420</v>
      </c>
      <c r="E879" t="s">
        <v>10</v>
      </c>
      <c r="F879">
        <v>52.449199999999998</v>
      </c>
      <c r="G879">
        <v>-113.7569</v>
      </c>
      <c r="H879">
        <v>-7</v>
      </c>
      <c r="I879">
        <v>860</v>
      </c>
      <c r="J879" t="str">
        <f>HYPERLINK("https://climate.onebuilding.org/WMO_Region_4_North_and_Central_America/CAN_Canada/AB_Alberta/CAN_AB_Lacombe.712420_TMYx.zip")</f>
        <v>https://climate.onebuilding.org/WMO_Region_4_North_and_Central_America/CAN_Canada/AB_Alberta/CAN_AB_Lacombe.712420_TMYx.zip</v>
      </c>
    </row>
    <row r="880" spans="1:10" x14ac:dyDescent="0.25">
      <c r="A880" t="s">
        <v>6</v>
      </c>
      <c r="B880" t="s">
        <v>17</v>
      </c>
      <c r="C880" t="s">
        <v>460</v>
      </c>
      <c r="D880">
        <v>712430</v>
      </c>
      <c r="E880" t="s">
        <v>461</v>
      </c>
      <c r="F880">
        <v>49.695</v>
      </c>
      <c r="G880">
        <v>-112.7675</v>
      </c>
      <c r="H880">
        <v>-7</v>
      </c>
      <c r="I880">
        <v>921.1</v>
      </c>
      <c r="J880" t="str">
        <f>HYPERLINK("https://climate.onebuilding.org/WMO_Region_4_North_and_Central_America/CAN_Canada/AB_Alberta/CAN_AB_Lethbridge.CDA.712430_TMYx.2004-2018.zip")</f>
        <v>https://climate.onebuilding.org/WMO_Region_4_North_and_Central_America/CAN_Canada/AB_Alberta/CAN_AB_Lethbridge.CDA.712430_TMYx.2004-2018.zip</v>
      </c>
    </row>
    <row r="881" spans="1:10" x14ac:dyDescent="0.25">
      <c r="A881" t="s">
        <v>6</v>
      </c>
      <c r="B881" t="s">
        <v>17</v>
      </c>
      <c r="C881" t="s">
        <v>460</v>
      </c>
      <c r="D881">
        <v>712430</v>
      </c>
      <c r="E881" t="s">
        <v>10</v>
      </c>
      <c r="F881">
        <v>49.7</v>
      </c>
      <c r="G881">
        <v>-112.77</v>
      </c>
      <c r="H881">
        <v>-7</v>
      </c>
      <c r="I881">
        <v>921.1</v>
      </c>
      <c r="J881" t="str">
        <f>HYPERLINK("https://climate.onebuilding.org/WMO_Region_4_North_and_Central_America/CAN_Canada/AB_Alberta/CAN_AB_Lethbridge.CDA.712430_TMYx.2007-2021.zip")</f>
        <v>https://climate.onebuilding.org/WMO_Region_4_North_and_Central_America/CAN_Canada/AB_Alberta/CAN_AB_Lethbridge.CDA.712430_TMYx.2007-2021.zip</v>
      </c>
    </row>
    <row r="882" spans="1:10" x14ac:dyDescent="0.25">
      <c r="A882" t="s">
        <v>6</v>
      </c>
      <c r="B882" t="s">
        <v>17</v>
      </c>
      <c r="C882" t="s">
        <v>460</v>
      </c>
      <c r="D882">
        <v>712430</v>
      </c>
      <c r="E882" t="s">
        <v>10</v>
      </c>
      <c r="F882">
        <v>49.7</v>
      </c>
      <c r="G882">
        <v>-112.77</v>
      </c>
      <c r="H882">
        <v>-7</v>
      </c>
      <c r="I882">
        <v>921.1</v>
      </c>
      <c r="J882" t="str">
        <f>HYPERLINK("https://climate.onebuilding.org/WMO_Region_4_North_and_Central_America/CAN_Canada/AB_Alberta/CAN_AB_Lethbridge.CDA.712430_TMYx.2009-2023.zip")</f>
        <v>https://climate.onebuilding.org/WMO_Region_4_North_and_Central_America/CAN_Canada/AB_Alberta/CAN_AB_Lethbridge.CDA.712430_TMYx.2009-2023.zip</v>
      </c>
    </row>
    <row r="883" spans="1:10" x14ac:dyDescent="0.25">
      <c r="A883" t="s">
        <v>6</v>
      </c>
      <c r="B883" t="s">
        <v>17</v>
      </c>
      <c r="C883" t="s">
        <v>460</v>
      </c>
      <c r="D883">
        <v>712430</v>
      </c>
      <c r="E883" t="s">
        <v>10</v>
      </c>
      <c r="F883">
        <v>49.7</v>
      </c>
      <c r="G883">
        <v>-112.77</v>
      </c>
      <c r="H883">
        <v>-7</v>
      </c>
      <c r="I883">
        <v>921.1</v>
      </c>
      <c r="J883" t="str">
        <f>HYPERLINK("https://climate.onebuilding.org/WMO_Region_4_North_and_Central_America/CAN_Canada/AB_Alberta/CAN_AB_Lethbridge.CDA.712430_TMYx.zip")</f>
        <v>https://climate.onebuilding.org/WMO_Region_4_North_and_Central_America/CAN_Canada/AB_Alberta/CAN_AB_Lethbridge.CDA.712430_TMYx.zip</v>
      </c>
    </row>
    <row r="884" spans="1:10" x14ac:dyDescent="0.25">
      <c r="A884" t="s">
        <v>6</v>
      </c>
      <c r="B884" t="s">
        <v>17</v>
      </c>
      <c r="C884" t="s">
        <v>462</v>
      </c>
      <c r="D884">
        <v>712440</v>
      </c>
      <c r="E884" t="s">
        <v>463</v>
      </c>
      <c r="F884">
        <v>49.133299999999998</v>
      </c>
      <c r="G884">
        <v>-112.05</v>
      </c>
      <c r="H884">
        <v>-7</v>
      </c>
      <c r="I884">
        <v>1050</v>
      </c>
      <c r="J884" t="str">
        <f>HYPERLINK("https://climate.onebuilding.org/WMO_Region_4_North_and_Central_America/CAN_Canada/AB_Alberta/CAN_AB_Milk.River.AP.712440_TMYx.2004-2018.zip")</f>
        <v>https://climate.onebuilding.org/WMO_Region_4_North_and_Central_America/CAN_Canada/AB_Alberta/CAN_AB_Milk.River.AP.712440_TMYx.2004-2018.zip</v>
      </c>
    </row>
    <row r="885" spans="1:10" x14ac:dyDescent="0.25">
      <c r="A885" t="s">
        <v>6</v>
      </c>
      <c r="B885" t="s">
        <v>17</v>
      </c>
      <c r="C885" t="s">
        <v>462</v>
      </c>
      <c r="D885">
        <v>712440</v>
      </c>
      <c r="E885" t="s">
        <v>10</v>
      </c>
      <c r="F885">
        <v>49.134</v>
      </c>
      <c r="G885">
        <v>-112.051</v>
      </c>
      <c r="H885">
        <v>-7</v>
      </c>
      <c r="I885">
        <v>1050</v>
      </c>
      <c r="J885" t="str">
        <f>HYPERLINK("https://climate.onebuilding.org/WMO_Region_4_North_and_Central_America/CAN_Canada/AB_Alberta/CAN_AB_Milk.River.AP.712440_TMYx.2007-2021.zip")</f>
        <v>https://climate.onebuilding.org/WMO_Region_4_North_and_Central_America/CAN_Canada/AB_Alberta/CAN_AB_Milk.River.AP.712440_TMYx.2007-2021.zip</v>
      </c>
    </row>
    <row r="886" spans="1:10" x14ac:dyDescent="0.25">
      <c r="A886" t="s">
        <v>6</v>
      </c>
      <c r="B886" t="s">
        <v>17</v>
      </c>
      <c r="C886" t="s">
        <v>462</v>
      </c>
      <c r="D886">
        <v>712440</v>
      </c>
      <c r="E886" t="s">
        <v>10</v>
      </c>
      <c r="F886">
        <v>49.134</v>
      </c>
      <c r="G886">
        <v>-112.051</v>
      </c>
      <c r="H886">
        <v>-7</v>
      </c>
      <c r="I886">
        <v>1050</v>
      </c>
      <c r="J886" t="str">
        <f>HYPERLINK("https://climate.onebuilding.org/WMO_Region_4_North_and_Central_America/CAN_Canada/AB_Alberta/CAN_AB_Milk.River.AP.712440_TMYx.2009-2023.zip")</f>
        <v>https://climate.onebuilding.org/WMO_Region_4_North_and_Central_America/CAN_Canada/AB_Alberta/CAN_AB_Milk.River.AP.712440_TMYx.2009-2023.zip</v>
      </c>
    </row>
    <row r="887" spans="1:10" x14ac:dyDescent="0.25">
      <c r="A887" t="s">
        <v>6</v>
      </c>
      <c r="B887" t="s">
        <v>17</v>
      </c>
      <c r="C887" t="s">
        <v>462</v>
      </c>
      <c r="D887">
        <v>712440</v>
      </c>
      <c r="E887" t="s">
        <v>10</v>
      </c>
      <c r="F887">
        <v>49.134</v>
      </c>
      <c r="G887">
        <v>-112.051</v>
      </c>
      <c r="H887">
        <v>-7</v>
      </c>
      <c r="I887">
        <v>1050</v>
      </c>
      <c r="J887" t="str">
        <f>HYPERLINK("https://climate.onebuilding.org/WMO_Region_4_North_and_Central_America/CAN_Canada/AB_Alberta/CAN_AB_Milk.River.AP.712440_TMYx.zip")</f>
        <v>https://climate.onebuilding.org/WMO_Region_4_North_and_Central_America/CAN_Canada/AB_Alberta/CAN_AB_Milk.River.AP.712440_TMYx.zip</v>
      </c>
    </row>
    <row r="888" spans="1:10" x14ac:dyDescent="0.25">
      <c r="A888" t="s">
        <v>6</v>
      </c>
      <c r="B888" t="s">
        <v>17</v>
      </c>
      <c r="C888" t="s">
        <v>464</v>
      </c>
      <c r="D888">
        <v>712450</v>
      </c>
      <c r="E888" t="s">
        <v>465</v>
      </c>
      <c r="F888">
        <v>50.942500000000003</v>
      </c>
      <c r="G888">
        <v>-115.19029999999999</v>
      </c>
      <c r="H888">
        <v>-7</v>
      </c>
      <c r="I888">
        <v>2543</v>
      </c>
      <c r="J888" t="str">
        <f>HYPERLINK("https://climate.onebuilding.org/WMO_Region_4_North_and_Central_America/CAN_Canada/AB_Alberta/CAN_AB_Nakiska.Ski.Resort.Ridgetop.712450_TMYx.2004-2018.zip")</f>
        <v>https://climate.onebuilding.org/WMO_Region_4_North_and_Central_America/CAN_Canada/AB_Alberta/CAN_AB_Nakiska.Ski.Resort.Ridgetop.712450_TMYx.2004-2018.zip</v>
      </c>
    </row>
    <row r="889" spans="1:10" x14ac:dyDescent="0.25">
      <c r="A889" t="s">
        <v>6</v>
      </c>
      <c r="B889" t="s">
        <v>17</v>
      </c>
      <c r="C889" t="s">
        <v>464</v>
      </c>
      <c r="D889">
        <v>712450</v>
      </c>
      <c r="E889" t="s">
        <v>10</v>
      </c>
      <c r="F889">
        <v>50.9437</v>
      </c>
      <c r="G889">
        <v>-115.1896</v>
      </c>
      <c r="H889">
        <v>-7</v>
      </c>
      <c r="I889">
        <v>2543</v>
      </c>
      <c r="J889" t="str">
        <f>HYPERLINK("https://climate.onebuilding.org/WMO_Region_4_North_and_Central_America/CAN_Canada/AB_Alberta/CAN_AB_Nakiska.Ski.Resort.Ridgetop.712450_TMYx.2007-2021.zip")</f>
        <v>https://climate.onebuilding.org/WMO_Region_4_North_and_Central_America/CAN_Canada/AB_Alberta/CAN_AB_Nakiska.Ski.Resort.Ridgetop.712450_TMYx.2007-2021.zip</v>
      </c>
    </row>
    <row r="890" spans="1:10" x14ac:dyDescent="0.25">
      <c r="A890" t="s">
        <v>6</v>
      </c>
      <c r="B890" t="s">
        <v>17</v>
      </c>
      <c r="C890" t="s">
        <v>464</v>
      </c>
      <c r="D890">
        <v>712450</v>
      </c>
      <c r="E890" t="s">
        <v>10</v>
      </c>
      <c r="F890">
        <v>50.9437</v>
      </c>
      <c r="G890">
        <v>-115.1896</v>
      </c>
      <c r="H890">
        <v>-7</v>
      </c>
      <c r="I890">
        <v>2543</v>
      </c>
      <c r="J890" t="str">
        <f>HYPERLINK("https://climate.onebuilding.org/WMO_Region_4_North_and_Central_America/CAN_Canada/AB_Alberta/CAN_AB_Nakiska.Ski.Resort.Ridgetop.712450_TMYx.2009-2023.zip")</f>
        <v>https://climate.onebuilding.org/WMO_Region_4_North_and_Central_America/CAN_Canada/AB_Alberta/CAN_AB_Nakiska.Ski.Resort.Ridgetop.712450_TMYx.2009-2023.zip</v>
      </c>
    </row>
    <row r="891" spans="1:10" x14ac:dyDescent="0.25">
      <c r="A891" t="s">
        <v>6</v>
      </c>
      <c r="B891" t="s">
        <v>17</v>
      </c>
      <c r="C891" t="s">
        <v>464</v>
      </c>
      <c r="D891">
        <v>712450</v>
      </c>
      <c r="E891" t="s">
        <v>10</v>
      </c>
      <c r="F891">
        <v>50.9437</v>
      </c>
      <c r="G891">
        <v>-115.1896</v>
      </c>
      <c r="H891">
        <v>-7</v>
      </c>
      <c r="I891">
        <v>2543</v>
      </c>
      <c r="J891" t="str">
        <f>HYPERLINK("https://climate.onebuilding.org/WMO_Region_4_North_and_Central_America/CAN_Canada/AB_Alberta/CAN_AB_Nakiska.Ski.Resort.Ridgetop.712450_TMYx.zip")</f>
        <v>https://climate.onebuilding.org/WMO_Region_4_North_and_Central_America/CAN_Canada/AB_Alberta/CAN_AB_Nakiska.Ski.Resort.Ridgetop.712450_TMYx.zip</v>
      </c>
    </row>
    <row r="892" spans="1:10" x14ac:dyDescent="0.25">
      <c r="A892" t="s">
        <v>6</v>
      </c>
      <c r="B892" t="s">
        <v>17</v>
      </c>
      <c r="C892" t="s">
        <v>466</v>
      </c>
      <c r="D892">
        <v>712460</v>
      </c>
      <c r="E892" t="s">
        <v>467</v>
      </c>
      <c r="F892">
        <v>56.533000000000001</v>
      </c>
      <c r="G892">
        <v>-115.267</v>
      </c>
      <c r="H892">
        <v>-7</v>
      </c>
      <c r="I892">
        <v>546</v>
      </c>
      <c r="J892" t="str">
        <f>HYPERLINK("https://climate.onebuilding.org/WMO_Region_4_North_and_Central_America/CAN_Canada/AB_Alberta/CAN_AB_Red.Earth.Creek.AP.712460_TMYx.2004-2018.zip")</f>
        <v>https://climate.onebuilding.org/WMO_Region_4_North_and_Central_America/CAN_Canada/AB_Alberta/CAN_AB_Red.Earth.Creek.AP.712460_TMYx.2004-2018.zip</v>
      </c>
    </row>
    <row r="893" spans="1:10" x14ac:dyDescent="0.25">
      <c r="A893" t="s">
        <v>6</v>
      </c>
      <c r="B893" t="s">
        <v>17</v>
      </c>
      <c r="C893" t="s">
        <v>466</v>
      </c>
      <c r="D893">
        <v>712460</v>
      </c>
      <c r="E893" t="s">
        <v>10</v>
      </c>
      <c r="F893">
        <v>56.551940000000002</v>
      </c>
      <c r="G893">
        <v>-115.2778</v>
      </c>
      <c r="H893">
        <v>-7</v>
      </c>
      <c r="I893">
        <v>546</v>
      </c>
      <c r="J893" t="str">
        <f>HYPERLINK("https://climate.onebuilding.org/WMO_Region_4_North_and_Central_America/CAN_Canada/AB_Alberta/CAN_AB_Red.Earth.Creek.AP.712460_TMYx.2007-2021.zip")</f>
        <v>https://climate.onebuilding.org/WMO_Region_4_North_and_Central_America/CAN_Canada/AB_Alberta/CAN_AB_Red.Earth.Creek.AP.712460_TMYx.2007-2021.zip</v>
      </c>
    </row>
    <row r="894" spans="1:10" x14ac:dyDescent="0.25">
      <c r="A894" t="s">
        <v>6</v>
      </c>
      <c r="B894" t="s">
        <v>17</v>
      </c>
      <c r="C894" t="s">
        <v>466</v>
      </c>
      <c r="D894">
        <v>712460</v>
      </c>
      <c r="E894" t="s">
        <v>10</v>
      </c>
      <c r="F894">
        <v>56.551940000000002</v>
      </c>
      <c r="G894">
        <v>-115.2778</v>
      </c>
      <c r="H894">
        <v>-7</v>
      </c>
      <c r="I894">
        <v>546</v>
      </c>
      <c r="J894" t="str">
        <f>HYPERLINK("https://climate.onebuilding.org/WMO_Region_4_North_and_Central_America/CAN_Canada/AB_Alberta/CAN_AB_Red.Earth.Creek.AP.712460_TMYx.2009-2023.zip")</f>
        <v>https://climate.onebuilding.org/WMO_Region_4_North_and_Central_America/CAN_Canada/AB_Alberta/CAN_AB_Red.Earth.Creek.AP.712460_TMYx.2009-2023.zip</v>
      </c>
    </row>
    <row r="895" spans="1:10" x14ac:dyDescent="0.25">
      <c r="A895" t="s">
        <v>6</v>
      </c>
      <c r="B895" t="s">
        <v>17</v>
      </c>
      <c r="C895" t="s">
        <v>466</v>
      </c>
      <c r="D895">
        <v>712460</v>
      </c>
      <c r="E895" t="s">
        <v>10</v>
      </c>
      <c r="F895">
        <v>56.551940000000002</v>
      </c>
      <c r="G895">
        <v>-115.2778</v>
      </c>
      <c r="H895">
        <v>-7</v>
      </c>
      <c r="I895">
        <v>546</v>
      </c>
      <c r="J895" t="str">
        <f>HYPERLINK("https://climate.onebuilding.org/WMO_Region_4_North_and_Central_America/CAN_Canada/AB_Alberta/CAN_AB_Red.Earth.Creek.AP.712460_TMYx.zip")</f>
        <v>https://climate.onebuilding.org/WMO_Region_4_North_and_Central_America/CAN_Canada/AB_Alberta/CAN_AB_Red.Earth.Creek.AP.712460_TMYx.zip</v>
      </c>
    </row>
    <row r="896" spans="1:10" x14ac:dyDescent="0.25">
      <c r="A896" t="s">
        <v>6</v>
      </c>
      <c r="B896" t="s">
        <v>17</v>
      </c>
      <c r="C896" t="s">
        <v>468</v>
      </c>
      <c r="D896">
        <v>712480</v>
      </c>
      <c r="E896" t="s">
        <v>469</v>
      </c>
      <c r="F896">
        <v>51.778100000000002</v>
      </c>
      <c r="G896">
        <v>-114.6825</v>
      </c>
      <c r="H896">
        <v>-7</v>
      </c>
      <c r="I896">
        <v>1114.4000000000001</v>
      </c>
      <c r="J896" t="str">
        <f>HYPERLINK("https://climate.onebuilding.org/WMO_Region_4_North_and_Central_America/CAN_Canada/AB_Alberta/CAN_AB_Sundre.AP.712480_TMYx.2004-2018.zip")</f>
        <v>https://climate.onebuilding.org/WMO_Region_4_North_and_Central_America/CAN_Canada/AB_Alberta/CAN_AB_Sundre.AP.712480_TMYx.2004-2018.zip</v>
      </c>
    </row>
    <row r="897" spans="1:10" x14ac:dyDescent="0.25">
      <c r="A897" t="s">
        <v>6</v>
      </c>
      <c r="B897" t="s">
        <v>17</v>
      </c>
      <c r="C897" t="s">
        <v>468</v>
      </c>
      <c r="D897">
        <v>712480</v>
      </c>
      <c r="E897" t="s">
        <v>10</v>
      </c>
      <c r="F897">
        <v>51.778100000000002</v>
      </c>
      <c r="G897">
        <v>-114.6825</v>
      </c>
      <c r="H897">
        <v>-7</v>
      </c>
      <c r="I897">
        <v>1114.4000000000001</v>
      </c>
      <c r="J897" t="str">
        <f>HYPERLINK("https://climate.onebuilding.org/WMO_Region_4_North_and_Central_America/CAN_Canada/AB_Alberta/CAN_AB_Sundre.AP.712480_TMYx.2007-2021.zip")</f>
        <v>https://climate.onebuilding.org/WMO_Region_4_North_and_Central_America/CAN_Canada/AB_Alberta/CAN_AB_Sundre.AP.712480_TMYx.2007-2021.zip</v>
      </c>
    </row>
    <row r="898" spans="1:10" x14ac:dyDescent="0.25">
      <c r="A898" t="s">
        <v>6</v>
      </c>
      <c r="B898" t="s">
        <v>17</v>
      </c>
      <c r="C898" t="s">
        <v>468</v>
      </c>
      <c r="D898">
        <v>712480</v>
      </c>
      <c r="E898" t="s">
        <v>10</v>
      </c>
      <c r="F898">
        <v>51.778100000000002</v>
      </c>
      <c r="G898">
        <v>-114.6825</v>
      </c>
      <c r="H898">
        <v>-7</v>
      </c>
      <c r="I898">
        <v>1114.4000000000001</v>
      </c>
      <c r="J898" t="str">
        <f>HYPERLINK("https://climate.onebuilding.org/WMO_Region_4_North_and_Central_America/CAN_Canada/AB_Alberta/CAN_AB_Sundre.AP.712480_TMYx.2009-2023.zip")</f>
        <v>https://climate.onebuilding.org/WMO_Region_4_North_and_Central_America/CAN_Canada/AB_Alberta/CAN_AB_Sundre.AP.712480_TMYx.2009-2023.zip</v>
      </c>
    </row>
    <row r="899" spans="1:10" x14ac:dyDescent="0.25">
      <c r="A899" t="s">
        <v>6</v>
      </c>
      <c r="B899" t="s">
        <v>17</v>
      </c>
      <c r="C899" t="s">
        <v>468</v>
      </c>
      <c r="D899">
        <v>712480</v>
      </c>
      <c r="E899" t="s">
        <v>10</v>
      </c>
      <c r="F899">
        <v>51.778100000000002</v>
      </c>
      <c r="G899">
        <v>-114.6825</v>
      </c>
      <c r="H899">
        <v>-7</v>
      </c>
      <c r="I899">
        <v>1114.4000000000001</v>
      </c>
      <c r="J899" t="str">
        <f>HYPERLINK("https://climate.onebuilding.org/WMO_Region_4_North_and_Central_America/CAN_Canada/AB_Alberta/CAN_AB_Sundre.AP.712480_TMYx.zip")</f>
        <v>https://climate.onebuilding.org/WMO_Region_4_North_and_Central_America/CAN_Canada/AB_Alberta/CAN_AB_Sundre.AP.712480_TMYx.zip</v>
      </c>
    </row>
    <row r="900" spans="1:10" x14ac:dyDescent="0.25">
      <c r="A900" t="s">
        <v>6</v>
      </c>
      <c r="B900" t="s">
        <v>17</v>
      </c>
      <c r="C900" t="s">
        <v>470</v>
      </c>
      <c r="D900">
        <v>712490</v>
      </c>
      <c r="E900" t="s">
        <v>471</v>
      </c>
      <c r="F900">
        <v>51.7</v>
      </c>
      <c r="G900">
        <v>-113.233</v>
      </c>
      <c r="H900">
        <v>-7</v>
      </c>
      <c r="I900">
        <v>915</v>
      </c>
      <c r="J900" t="str">
        <f>HYPERLINK("https://climate.onebuilding.org/WMO_Region_4_North_and_Central_America/CAN_Canada/AB_Alberta/CAN_AB_Three.Hills.AP.712490_TMYx.2004-2018.zip")</f>
        <v>https://climate.onebuilding.org/WMO_Region_4_North_and_Central_America/CAN_Canada/AB_Alberta/CAN_AB_Three.Hills.AP.712490_TMYx.2004-2018.zip</v>
      </c>
    </row>
    <row r="901" spans="1:10" x14ac:dyDescent="0.25">
      <c r="A901" t="s">
        <v>6</v>
      </c>
      <c r="B901" t="s">
        <v>17</v>
      </c>
      <c r="C901" t="s">
        <v>470</v>
      </c>
      <c r="D901">
        <v>712490</v>
      </c>
      <c r="E901" t="s">
        <v>10</v>
      </c>
      <c r="F901">
        <v>51.695</v>
      </c>
      <c r="G901">
        <v>-113.206</v>
      </c>
      <c r="H901">
        <v>-7</v>
      </c>
      <c r="I901">
        <v>915</v>
      </c>
      <c r="J901" t="str">
        <f>HYPERLINK("https://climate.onebuilding.org/WMO_Region_4_North_and_Central_America/CAN_Canada/AB_Alberta/CAN_AB_Three.Hills.AP.712490_TMYx.2007-2021.zip")</f>
        <v>https://climate.onebuilding.org/WMO_Region_4_North_and_Central_America/CAN_Canada/AB_Alberta/CAN_AB_Three.Hills.AP.712490_TMYx.2007-2021.zip</v>
      </c>
    </row>
    <row r="902" spans="1:10" x14ac:dyDescent="0.25">
      <c r="A902" t="s">
        <v>6</v>
      </c>
      <c r="B902" t="s">
        <v>17</v>
      </c>
      <c r="C902" t="s">
        <v>470</v>
      </c>
      <c r="D902">
        <v>712490</v>
      </c>
      <c r="E902" t="s">
        <v>10</v>
      </c>
      <c r="F902">
        <v>51.695</v>
      </c>
      <c r="G902">
        <v>-113.206</v>
      </c>
      <c r="H902">
        <v>-7</v>
      </c>
      <c r="I902">
        <v>915</v>
      </c>
      <c r="J902" t="str">
        <f>HYPERLINK("https://climate.onebuilding.org/WMO_Region_4_North_and_Central_America/CAN_Canada/AB_Alberta/CAN_AB_Three.Hills.AP.712490_TMYx.2009-2023.zip")</f>
        <v>https://climate.onebuilding.org/WMO_Region_4_North_and_Central_America/CAN_Canada/AB_Alberta/CAN_AB_Three.Hills.AP.712490_TMYx.2009-2023.zip</v>
      </c>
    </row>
    <row r="903" spans="1:10" x14ac:dyDescent="0.25">
      <c r="A903" t="s">
        <v>6</v>
      </c>
      <c r="B903" t="s">
        <v>17</v>
      </c>
      <c r="C903" t="s">
        <v>470</v>
      </c>
      <c r="D903">
        <v>712490</v>
      </c>
      <c r="E903" t="s">
        <v>10</v>
      </c>
      <c r="F903">
        <v>51.695</v>
      </c>
      <c r="G903">
        <v>-113.206</v>
      </c>
      <c r="H903">
        <v>-7</v>
      </c>
      <c r="I903">
        <v>915</v>
      </c>
      <c r="J903" t="str">
        <f>HYPERLINK("https://climate.onebuilding.org/WMO_Region_4_North_and_Central_America/CAN_Canada/AB_Alberta/CAN_AB_Three.Hills.AP.712490_TMYx.zip")</f>
        <v>https://climate.onebuilding.org/WMO_Region_4_North_and_Central_America/CAN_Canada/AB_Alberta/CAN_AB_Three.Hills.AP.712490_TMYx.zip</v>
      </c>
    </row>
    <row r="904" spans="1:10" x14ac:dyDescent="0.25">
      <c r="A904" t="s">
        <v>6</v>
      </c>
      <c r="B904" t="s">
        <v>11</v>
      </c>
      <c r="C904" t="s">
        <v>472</v>
      </c>
      <c r="D904">
        <v>712500</v>
      </c>
      <c r="E904" t="s">
        <v>473</v>
      </c>
      <c r="F904">
        <v>47.513300000000001</v>
      </c>
      <c r="G904">
        <v>-52.783299999999997</v>
      </c>
      <c r="H904">
        <v>-3.5</v>
      </c>
      <c r="I904">
        <v>119</v>
      </c>
      <c r="J904" t="str">
        <f>HYPERLINK("https://climate.onebuilding.org/WMO_Region_4_North_and_Central_America/CAN_Canada/NL_Newfoundland_and_Labrador/CAN_NL_St.Johns.West.Climate.712500_TMYx.2004-2018.zip")</f>
        <v>https://climate.onebuilding.org/WMO_Region_4_North_and_Central_America/CAN_Canada/NL_Newfoundland_and_Labrador/CAN_NL_St.Johns.West.Climate.712500_TMYx.2004-2018.zip</v>
      </c>
    </row>
    <row r="905" spans="1:10" x14ac:dyDescent="0.25">
      <c r="A905" t="s">
        <v>6</v>
      </c>
      <c r="B905" t="s">
        <v>11</v>
      </c>
      <c r="C905" t="s">
        <v>472</v>
      </c>
      <c r="D905">
        <v>712500</v>
      </c>
      <c r="E905" t="s">
        <v>10</v>
      </c>
      <c r="F905">
        <v>47.513300000000001</v>
      </c>
      <c r="G905">
        <v>-52.783299999999997</v>
      </c>
      <c r="H905">
        <v>-3.5</v>
      </c>
      <c r="I905">
        <v>119</v>
      </c>
      <c r="J905" t="str">
        <f>HYPERLINK("https://climate.onebuilding.org/WMO_Region_4_North_and_Central_America/CAN_Canada/NL_Newfoundland_and_Labrador/CAN_NL_St.Johns.West.Climate.712500_TMYx.2007-2021.zip")</f>
        <v>https://climate.onebuilding.org/WMO_Region_4_North_and_Central_America/CAN_Canada/NL_Newfoundland_and_Labrador/CAN_NL_St.Johns.West.Climate.712500_TMYx.2007-2021.zip</v>
      </c>
    </row>
    <row r="906" spans="1:10" x14ac:dyDescent="0.25">
      <c r="A906" t="s">
        <v>6</v>
      </c>
      <c r="B906" t="s">
        <v>11</v>
      </c>
      <c r="C906" t="s">
        <v>472</v>
      </c>
      <c r="D906">
        <v>712500</v>
      </c>
      <c r="E906" t="s">
        <v>10</v>
      </c>
      <c r="F906">
        <v>47.513300000000001</v>
      </c>
      <c r="G906">
        <v>-52.783299999999997</v>
      </c>
      <c r="H906">
        <v>-3.5</v>
      </c>
      <c r="I906">
        <v>119</v>
      </c>
      <c r="J906" t="str">
        <f>HYPERLINK("https://climate.onebuilding.org/WMO_Region_4_North_and_Central_America/CAN_Canada/NL_Newfoundland_and_Labrador/CAN_NL_St.Johns.West.Climate.712500_TMYx.2009-2023.zip")</f>
        <v>https://climate.onebuilding.org/WMO_Region_4_North_and_Central_America/CAN_Canada/NL_Newfoundland_and_Labrador/CAN_NL_St.Johns.West.Climate.712500_TMYx.2009-2023.zip</v>
      </c>
    </row>
    <row r="907" spans="1:10" x14ac:dyDescent="0.25">
      <c r="A907" t="s">
        <v>6</v>
      </c>
      <c r="B907" t="s">
        <v>11</v>
      </c>
      <c r="C907" t="s">
        <v>472</v>
      </c>
      <c r="D907">
        <v>712500</v>
      </c>
      <c r="E907" t="s">
        <v>10</v>
      </c>
      <c r="F907">
        <v>47.513300000000001</v>
      </c>
      <c r="G907">
        <v>-52.783299999999997</v>
      </c>
      <c r="H907">
        <v>-3.5</v>
      </c>
      <c r="I907">
        <v>119</v>
      </c>
      <c r="J907" t="str">
        <f>HYPERLINK("https://climate.onebuilding.org/WMO_Region_4_North_and_Central_America/CAN_Canada/NL_Newfoundland_and_Labrador/CAN_NL_St.Johns.West.Climate.712500_TMYx.zip")</f>
        <v>https://climate.onebuilding.org/WMO_Region_4_North_and_Central_America/CAN_Canada/NL_Newfoundland_and_Labrador/CAN_NL_St.Johns.West.Climate.712500_TMYx.zip</v>
      </c>
    </row>
    <row r="908" spans="1:10" x14ac:dyDescent="0.25">
      <c r="A908" t="s">
        <v>6</v>
      </c>
      <c r="B908" t="s">
        <v>17</v>
      </c>
      <c r="C908" t="s">
        <v>474</v>
      </c>
      <c r="D908">
        <v>712510</v>
      </c>
      <c r="E908" t="s">
        <v>475</v>
      </c>
      <c r="F908">
        <v>50.05</v>
      </c>
      <c r="G908">
        <v>-112.13330000000001</v>
      </c>
      <c r="H908">
        <v>-7</v>
      </c>
      <c r="I908">
        <v>779</v>
      </c>
      <c r="J908" t="str">
        <f>HYPERLINK("https://climate.onebuilding.org/WMO_Region_4_North_and_Central_America/CAN_Canada/AB_Alberta/CAN_AB_Vauxhall.712510_TMYx.2004-2018.zip")</f>
        <v>https://climate.onebuilding.org/WMO_Region_4_North_and_Central_America/CAN_Canada/AB_Alberta/CAN_AB_Vauxhall.712510_TMYx.2004-2018.zip</v>
      </c>
    </row>
    <row r="909" spans="1:10" x14ac:dyDescent="0.25">
      <c r="A909" t="s">
        <v>6</v>
      </c>
      <c r="B909" t="s">
        <v>17</v>
      </c>
      <c r="C909" t="s">
        <v>474</v>
      </c>
      <c r="D909">
        <v>712510</v>
      </c>
      <c r="E909" t="s">
        <v>10</v>
      </c>
      <c r="F909">
        <v>50.052999999999997</v>
      </c>
      <c r="G909">
        <v>-112.126</v>
      </c>
      <c r="H909">
        <v>-7</v>
      </c>
      <c r="I909">
        <v>779</v>
      </c>
      <c r="J909" t="str">
        <f>HYPERLINK("https://climate.onebuilding.org/WMO_Region_4_North_and_Central_America/CAN_Canada/AB_Alberta/CAN_AB_Vauxhall.712510_TMYx.2007-2021.zip")</f>
        <v>https://climate.onebuilding.org/WMO_Region_4_North_and_Central_America/CAN_Canada/AB_Alberta/CAN_AB_Vauxhall.712510_TMYx.2007-2021.zip</v>
      </c>
    </row>
    <row r="910" spans="1:10" x14ac:dyDescent="0.25">
      <c r="A910" t="s">
        <v>6</v>
      </c>
      <c r="B910" t="s">
        <v>17</v>
      </c>
      <c r="C910" t="s">
        <v>474</v>
      </c>
      <c r="D910">
        <v>712510</v>
      </c>
      <c r="E910" t="s">
        <v>10</v>
      </c>
      <c r="F910">
        <v>50.052999999999997</v>
      </c>
      <c r="G910">
        <v>-112.126</v>
      </c>
      <c r="H910">
        <v>-7</v>
      </c>
      <c r="I910">
        <v>779</v>
      </c>
      <c r="J910" t="str">
        <f>HYPERLINK("https://climate.onebuilding.org/WMO_Region_4_North_and_Central_America/CAN_Canada/AB_Alberta/CAN_AB_Vauxhall.712510_TMYx.2009-2023.zip")</f>
        <v>https://climate.onebuilding.org/WMO_Region_4_North_and_Central_America/CAN_Canada/AB_Alberta/CAN_AB_Vauxhall.712510_TMYx.2009-2023.zip</v>
      </c>
    </row>
    <row r="911" spans="1:10" x14ac:dyDescent="0.25">
      <c r="A911" t="s">
        <v>6</v>
      </c>
      <c r="B911" t="s">
        <v>17</v>
      </c>
      <c r="C911" t="s">
        <v>474</v>
      </c>
      <c r="D911">
        <v>712510</v>
      </c>
      <c r="E911" t="s">
        <v>10</v>
      </c>
      <c r="F911">
        <v>50.052999999999997</v>
      </c>
      <c r="G911">
        <v>-112.126</v>
      </c>
      <c r="H911">
        <v>-7</v>
      </c>
      <c r="I911">
        <v>779</v>
      </c>
      <c r="J911" t="str">
        <f>HYPERLINK("https://climate.onebuilding.org/WMO_Region_4_North_and_Central_America/CAN_Canada/AB_Alberta/CAN_AB_Vauxhall.712510_TMYx.zip")</f>
        <v>https://climate.onebuilding.org/WMO_Region_4_North_and_Central_America/CAN_Canada/AB_Alberta/CAN_AB_Vauxhall.712510_TMYx.zip</v>
      </c>
    </row>
    <row r="912" spans="1:10" x14ac:dyDescent="0.25">
      <c r="A912" t="s">
        <v>6</v>
      </c>
      <c r="B912" t="s">
        <v>17</v>
      </c>
      <c r="C912" t="s">
        <v>476</v>
      </c>
      <c r="D912">
        <v>712520</v>
      </c>
      <c r="E912" t="s">
        <v>477</v>
      </c>
      <c r="F912">
        <v>53.385599999999997</v>
      </c>
      <c r="G912">
        <v>-118.3475</v>
      </c>
      <c r="H912">
        <v>-7</v>
      </c>
      <c r="I912">
        <v>1370</v>
      </c>
      <c r="J912" t="str">
        <f>HYPERLINK("https://climate.onebuilding.org/WMO_Region_4_North_and_Central_America/CAN_Canada/AB_Alberta/CAN_AB_Willow.Creek.712520_TMYx.2004-2018.zip")</f>
        <v>https://climate.onebuilding.org/WMO_Region_4_North_and_Central_America/CAN_Canada/AB_Alberta/CAN_AB_Willow.Creek.712520_TMYx.2004-2018.zip</v>
      </c>
    </row>
    <row r="913" spans="1:10" x14ac:dyDescent="0.25">
      <c r="A913" t="s">
        <v>6</v>
      </c>
      <c r="B913" t="s">
        <v>17</v>
      </c>
      <c r="C913" t="s">
        <v>476</v>
      </c>
      <c r="D913">
        <v>712520</v>
      </c>
      <c r="E913" t="s">
        <v>10</v>
      </c>
      <c r="F913">
        <v>53.385599999999997</v>
      </c>
      <c r="G913">
        <v>-118.3475</v>
      </c>
      <c r="H913">
        <v>-7</v>
      </c>
      <c r="I913">
        <v>1370</v>
      </c>
      <c r="J913" t="str">
        <f>HYPERLINK("https://climate.onebuilding.org/WMO_Region_4_North_and_Central_America/CAN_Canada/AB_Alberta/CAN_AB_Willow.Creek.712520_TMYx.2007-2021.zip")</f>
        <v>https://climate.onebuilding.org/WMO_Region_4_North_and_Central_America/CAN_Canada/AB_Alberta/CAN_AB_Willow.Creek.712520_TMYx.2007-2021.zip</v>
      </c>
    </row>
    <row r="914" spans="1:10" x14ac:dyDescent="0.25">
      <c r="A914" t="s">
        <v>6</v>
      </c>
      <c r="B914" t="s">
        <v>17</v>
      </c>
      <c r="C914" t="s">
        <v>476</v>
      </c>
      <c r="D914">
        <v>712520</v>
      </c>
      <c r="E914" t="s">
        <v>10</v>
      </c>
      <c r="F914">
        <v>53.385599999999997</v>
      </c>
      <c r="G914">
        <v>-118.3475</v>
      </c>
      <c r="H914">
        <v>-7</v>
      </c>
      <c r="I914">
        <v>1370</v>
      </c>
      <c r="J914" t="str">
        <f>HYPERLINK("https://climate.onebuilding.org/WMO_Region_4_North_and_Central_America/CAN_Canada/AB_Alberta/CAN_AB_Willow.Creek.712520_TMYx.2009-2023.zip")</f>
        <v>https://climate.onebuilding.org/WMO_Region_4_North_and_Central_America/CAN_Canada/AB_Alberta/CAN_AB_Willow.Creek.712520_TMYx.2009-2023.zip</v>
      </c>
    </row>
    <row r="915" spans="1:10" x14ac:dyDescent="0.25">
      <c r="A915" t="s">
        <v>6</v>
      </c>
      <c r="B915" t="s">
        <v>17</v>
      </c>
      <c r="C915" t="s">
        <v>476</v>
      </c>
      <c r="D915">
        <v>712520</v>
      </c>
      <c r="E915" t="s">
        <v>10</v>
      </c>
      <c r="F915">
        <v>53.385599999999997</v>
      </c>
      <c r="G915">
        <v>-118.3475</v>
      </c>
      <c r="H915">
        <v>-7</v>
      </c>
      <c r="I915">
        <v>1370</v>
      </c>
      <c r="J915" t="str">
        <f>HYPERLINK("https://climate.onebuilding.org/WMO_Region_4_North_and_Central_America/CAN_Canada/AB_Alberta/CAN_AB_Willow.Creek.712520_TMYx.zip")</f>
        <v>https://climate.onebuilding.org/WMO_Region_4_North_and_Central_America/CAN_Canada/AB_Alberta/CAN_AB_Willow.Creek.712520_TMYx.zip</v>
      </c>
    </row>
    <row r="916" spans="1:10" x14ac:dyDescent="0.25">
      <c r="A916" t="s">
        <v>6</v>
      </c>
      <c r="B916" t="s">
        <v>17</v>
      </c>
      <c r="C916" t="s">
        <v>478</v>
      </c>
      <c r="D916">
        <v>712530</v>
      </c>
      <c r="E916" t="s">
        <v>479</v>
      </c>
      <c r="F916">
        <v>58.710799999999999</v>
      </c>
      <c r="G916">
        <v>-113.8664</v>
      </c>
      <c r="H916">
        <v>-7</v>
      </c>
      <c r="I916">
        <v>240.8</v>
      </c>
      <c r="J916" t="str">
        <f>HYPERLINK("https://climate.onebuilding.org/WMO_Region_4_North_and_Central_America/CAN_Canada/AB_Alberta/CAN_AB_Garden.River.AP.712530_TMYx.2004-2018.zip")</f>
        <v>https://climate.onebuilding.org/WMO_Region_4_North_and_Central_America/CAN_Canada/AB_Alberta/CAN_AB_Garden.River.AP.712530_TMYx.2004-2018.zip</v>
      </c>
    </row>
    <row r="917" spans="1:10" x14ac:dyDescent="0.25">
      <c r="A917" t="s">
        <v>6</v>
      </c>
      <c r="B917" t="s">
        <v>17</v>
      </c>
      <c r="C917" t="s">
        <v>478</v>
      </c>
      <c r="D917">
        <v>712530</v>
      </c>
      <c r="E917" t="s">
        <v>10</v>
      </c>
      <c r="F917">
        <v>58.710799999999999</v>
      </c>
      <c r="G917">
        <v>-113.8664</v>
      </c>
      <c r="H917">
        <v>-7</v>
      </c>
      <c r="I917">
        <v>240.8</v>
      </c>
      <c r="J917" t="str">
        <f>HYPERLINK("https://climate.onebuilding.org/WMO_Region_4_North_and_Central_America/CAN_Canada/AB_Alberta/CAN_AB_Garden.River.AP.712530_TMYx.2007-2021.zip")</f>
        <v>https://climate.onebuilding.org/WMO_Region_4_North_and_Central_America/CAN_Canada/AB_Alberta/CAN_AB_Garden.River.AP.712530_TMYx.2007-2021.zip</v>
      </c>
    </row>
    <row r="918" spans="1:10" x14ac:dyDescent="0.25">
      <c r="A918" t="s">
        <v>6</v>
      </c>
      <c r="B918" t="s">
        <v>17</v>
      </c>
      <c r="C918" t="s">
        <v>478</v>
      </c>
      <c r="D918">
        <v>712530</v>
      </c>
      <c r="E918" t="s">
        <v>10</v>
      </c>
      <c r="F918">
        <v>58.710799999999999</v>
      </c>
      <c r="G918">
        <v>-113.8664</v>
      </c>
      <c r="H918">
        <v>-7</v>
      </c>
      <c r="I918">
        <v>240.8</v>
      </c>
      <c r="J918" t="str">
        <f>HYPERLINK("https://climate.onebuilding.org/WMO_Region_4_North_and_Central_America/CAN_Canada/AB_Alberta/CAN_AB_Garden.River.AP.712530_TMYx.2009-2023.zip")</f>
        <v>https://climate.onebuilding.org/WMO_Region_4_North_and_Central_America/CAN_Canada/AB_Alberta/CAN_AB_Garden.River.AP.712530_TMYx.2009-2023.zip</v>
      </c>
    </row>
    <row r="919" spans="1:10" x14ac:dyDescent="0.25">
      <c r="A919" t="s">
        <v>6</v>
      </c>
      <c r="B919" t="s">
        <v>17</v>
      </c>
      <c r="C919" t="s">
        <v>478</v>
      </c>
      <c r="D919">
        <v>712530</v>
      </c>
      <c r="E919" t="s">
        <v>10</v>
      </c>
      <c r="F919">
        <v>58.710799999999999</v>
      </c>
      <c r="G919">
        <v>-113.8664</v>
      </c>
      <c r="H919">
        <v>-7</v>
      </c>
      <c r="I919">
        <v>240.8</v>
      </c>
      <c r="J919" t="str">
        <f>HYPERLINK("https://climate.onebuilding.org/WMO_Region_4_North_and_Central_America/CAN_Canada/AB_Alberta/CAN_AB_Garden.River.AP.712530_TMYx.zip")</f>
        <v>https://climate.onebuilding.org/WMO_Region_4_North_and_Central_America/CAN_Canada/AB_Alberta/CAN_AB_Garden.River.AP.712530_TMYx.zip</v>
      </c>
    </row>
    <row r="920" spans="1:10" x14ac:dyDescent="0.25">
      <c r="A920" t="s">
        <v>6</v>
      </c>
      <c r="B920" t="s">
        <v>17</v>
      </c>
      <c r="C920" t="s">
        <v>480</v>
      </c>
      <c r="D920">
        <v>712540</v>
      </c>
      <c r="E920" t="s">
        <v>481</v>
      </c>
      <c r="F920">
        <v>53.034700000000001</v>
      </c>
      <c r="G920">
        <v>-112.8142</v>
      </c>
      <c r="H920">
        <v>-7</v>
      </c>
      <c r="I920">
        <v>739</v>
      </c>
      <c r="J920" t="str">
        <f>HYPERLINK("https://climate.onebuilding.org/WMO_Region_4_North_and_Central_America/CAN_Canada/AB_Alberta/CAN_AB_Camrose.AP.712540_TMYx.2004-2018.zip")</f>
        <v>https://climate.onebuilding.org/WMO_Region_4_North_and_Central_America/CAN_Canada/AB_Alberta/CAN_AB_Camrose.AP.712540_TMYx.2004-2018.zip</v>
      </c>
    </row>
    <row r="921" spans="1:10" x14ac:dyDescent="0.25">
      <c r="A921" t="s">
        <v>6</v>
      </c>
      <c r="B921" t="s">
        <v>17</v>
      </c>
      <c r="C921" t="s">
        <v>480</v>
      </c>
      <c r="D921">
        <v>712540</v>
      </c>
      <c r="E921" t="s">
        <v>10</v>
      </c>
      <c r="F921">
        <v>53.034700000000001</v>
      </c>
      <c r="G921">
        <v>-112.8142</v>
      </c>
      <c r="H921">
        <v>-7</v>
      </c>
      <c r="I921">
        <v>739</v>
      </c>
      <c r="J921" t="str">
        <f>HYPERLINK("https://climate.onebuilding.org/WMO_Region_4_North_and_Central_America/CAN_Canada/AB_Alberta/CAN_AB_Camrose.AP.712540_TMYx.2007-2021.zip")</f>
        <v>https://climate.onebuilding.org/WMO_Region_4_North_and_Central_America/CAN_Canada/AB_Alberta/CAN_AB_Camrose.AP.712540_TMYx.2007-2021.zip</v>
      </c>
    </row>
    <row r="922" spans="1:10" x14ac:dyDescent="0.25">
      <c r="A922" t="s">
        <v>6</v>
      </c>
      <c r="B922" t="s">
        <v>17</v>
      </c>
      <c r="C922" t="s">
        <v>480</v>
      </c>
      <c r="D922">
        <v>712540</v>
      </c>
      <c r="E922" t="s">
        <v>10</v>
      </c>
      <c r="F922">
        <v>53.034700000000001</v>
      </c>
      <c r="G922">
        <v>-112.8142</v>
      </c>
      <c r="H922">
        <v>-7</v>
      </c>
      <c r="I922">
        <v>739</v>
      </c>
      <c r="J922" t="str">
        <f>HYPERLINK("https://climate.onebuilding.org/WMO_Region_4_North_and_Central_America/CAN_Canada/AB_Alberta/CAN_AB_Camrose.AP.712540_TMYx.2009-2023.zip")</f>
        <v>https://climate.onebuilding.org/WMO_Region_4_North_and_Central_America/CAN_Canada/AB_Alberta/CAN_AB_Camrose.AP.712540_TMYx.2009-2023.zip</v>
      </c>
    </row>
    <row r="923" spans="1:10" x14ac:dyDescent="0.25">
      <c r="A923" t="s">
        <v>6</v>
      </c>
      <c r="B923" t="s">
        <v>17</v>
      </c>
      <c r="C923" t="s">
        <v>480</v>
      </c>
      <c r="D923">
        <v>712540</v>
      </c>
      <c r="E923" t="s">
        <v>10</v>
      </c>
      <c r="F923">
        <v>53.034700000000001</v>
      </c>
      <c r="G923">
        <v>-112.8142</v>
      </c>
      <c r="H923">
        <v>-7</v>
      </c>
      <c r="I923">
        <v>739</v>
      </c>
      <c r="J923" t="str">
        <f>HYPERLINK("https://climate.onebuilding.org/WMO_Region_4_North_and_Central_America/CAN_Canada/AB_Alberta/CAN_AB_Camrose.AP.712540_TMYx.zip")</f>
        <v>https://climate.onebuilding.org/WMO_Region_4_North_and_Central_America/CAN_Canada/AB_Alberta/CAN_AB_Camrose.AP.712540_TMYx.zip</v>
      </c>
    </row>
    <row r="924" spans="1:10" x14ac:dyDescent="0.25">
      <c r="A924" t="s">
        <v>6</v>
      </c>
      <c r="B924" t="s">
        <v>17</v>
      </c>
      <c r="C924" t="s">
        <v>482</v>
      </c>
      <c r="D924">
        <v>712550</v>
      </c>
      <c r="E924" t="s">
        <v>483</v>
      </c>
      <c r="F924">
        <v>57.0411</v>
      </c>
      <c r="G924">
        <v>-111.55889999999999</v>
      </c>
      <c r="H924">
        <v>-7</v>
      </c>
      <c r="I924">
        <v>310</v>
      </c>
      <c r="J924" t="str">
        <f>HYPERLINK("https://climate.onebuilding.org/WMO_Region_4_North_and_Central_America/CAN_Canada/AB_Alberta/CAN_AB_Mildred.Lake.AP.712550_TMYx.2004-2018.zip")</f>
        <v>https://climate.onebuilding.org/WMO_Region_4_North_and_Central_America/CAN_Canada/AB_Alberta/CAN_AB_Mildred.Lake.AP.712550_TMYx.2004-2018.zip</v>
      </c>
    </row>
    <row r="925" spans="1:10" x14ac:dyDescent="0.25">
      <c r="A925" t="s">
        <v>6</v>
      </c>
      <c r="B925" t="s">
        <v>17</v>
      </c>
      <c r="C925" t="s">
        <v>482</v>
      </c>
      <c r="D925">
        <v>712550</v>
      </c>
      <c r="E925" t="s">
        <v>10</v>
      </c>
      <c r="F925">
        <v>57.040300000000002</v>
      </c>
      <c r="G925">
        <v>-111.55889999999999</v>
      </c>
      <c r="H925">
        <v>-7</v>
      </c>
      <c r="I925">
        <v>310</v>
      </c>
      <c r="J925" t="str">
        <f>HYPERLINK("https://climate.onebuilding.org/WMO_Region_4_North_and_Central_America/CAN_Canada/AB_Alberta/CAN_AB_Mildred.Lake.AP.712550_TMYx.2007-2021.zip")</f>
        <v>https://climate.onebuilding.org/WMO_Region_4_North_and_Central_America/CAN_Canada/AB_Alberta/CAN_AB_Mildred.Lake.AP.712550_TMYx.2007-2021.zip</v>
      </c>
    </row>
    <row r="926" spans="1:10" x14ac:dyDescent="0.25">
      <c r="A926" t="s">
        <v>6</v>
      </c>
      <c r="B926" t="s">
        <v>17</v>
      </c>
      <c r="C926" t="s">
        <v>482</v>
      </c>
      <c r="D926">
        <v>712550</v>
      </c>
      <c r="E926" t="s">
        <v>10</v>
      </c>
      <c r="F926">
        <v>57.040300000000002</v>
      </c>
      <c r="G926">
        <v>-111.55889999999999</v>
      </c>
      <c r="H926">
        <v>-7</v>
      </c>
      <c r="I926">
        <v>310</v>
      </c>
      <c r="J926" t="str">
        <f>HYPERLINK("https://climate.onebuilding.org/WMO_Region_4_North_and_Central_America/CAN_Canada/AB_Alberta/CAN_AB_Mildred.Lake.AP.712550_TMYx.2009-2023.zip")</f>
        <v>https://climate.onebuilding.org/WMO_Region_4_North_and_Central_America/CAN_Canada/AB_Alberta/CAN_AB_Mildred.Lake.AP.712550_TMYx.2009-2023.zip</v>
      </c>
    </row>
    <row r="927" spans="1:10" x14ac:dyDescent="0.25">
      <c r="A927" t="s">
        <v>6</v>
      </c>
      <c r="B927" t="s">
        <v>17</v>
      </c>
      <c r="C927" t="s">
        <v>482</v>
      </c>
      <c r="D927">
        <v>712550</v>
      </c>
      <c r="E927" t="s">
        <v>10</v>
      </c>
      <c r="F927">
        <v>57.040300000000002</v>
      </c>
      <c r="G927">
        <v>-111.55889999999999</v>
      </c>
      <c r="H927">
        <v>-7</v>
      </c>
      <c r="I927">
        <v>310</v>
      </c>
      <c r="J927" t="str">
        <f>HYPERLINK("https://climate.onebuilding.org/WMO_Region_4_North_and_Central_America/CAN_Canada/AB_Alberta/CAN_AB_Mildred.Lake.AP.712550_TMYx.zip")</f>
        <v>https://climate.onebuilding.org/WMO_Region_4_North_and_Central_America/CAN_Canada/AB_Alberta/CAN_AB_Mildred.Lake.AP.712550_TMYx.zip</v>
      </c>
    </row>
    <row r="928" spans="1:10" x14ac:dyDescent="0.25">
      <c r="A928" t="s">
        <v>6</v>
      </c>
      <c r="B928" t="s">
        <v>17</v>
      </c>
      <c r="C928" t="s">
        <v>484</v>
      </c>
      <c r="D928">
        <v>712570</v>
      </c>
      <c r="E928" t="s">
        <v>485</v>
      </c>
      <c r="F928">
        <v>51.65</v>
      </c>
      <c r="G928">
        <v>-112.667</v>
      </c>
      <c r="H928">
        <v>-7</v>
      </c>
      <c r="I928">
        <v>836</v>
      </c>
      <c r="J928" t="str">
        <f>HYPERLINK("https://climate.onebuilding.org/WMO_Region_4_North_and_Central_America/CAN_Canada/AB_Alberta/CAN_AB_Morrin.AgDM.712570_TMYx.2004-2018.zip")</f>
        <v>https://climate.onebuilding.org/WMO_Region_4_North_and_Central_America/CAN_Canada/AB_Alberta/CAN_AB_Morrin.AgDM.712570_TMYx.2004-2018.zip</v>
      </c>
    </row>
    <row r="929" spans="1:10" x14ac:dyDescent="0.25">
      <c r="A929" t="s">
        <v>6</v>
      </c>
      <c r="B929" t="s">
        <v>17</v>
      </c>
      <c r="C929" t="s">
        <v>484</v>
      </c>
      <c r="D929">
        <v>712570</v>
      </c>
      <c r="E929" t="s">
        <v>10</v>
      </c>
      <c r="F929">
        <v>51.660299999999999</v>
      </c>
      <c r="G929">
        <v>-112.675</v>
      </c>
      <c r="H929">
        <v>-7</v>
      </c>
      <c r="I929">
        <v>836</v>
      </c>
      <c r="J929" t="str">
        <f>HYPERLINK("https://climate.onebuilding.org/WMO_Region_4_North_and_Central_America/CAN_Canada/AB_Alberta/CAN_AB_Morrin.AgDM.712570_TMYx.2007-2021.zip")</f>
        <v>https://climate.onebuilding.org/WMO_Region_4_North_and_Central_America/CAN_Canada/AB_Alberta/CAN_AB_Morrin.AgDM.712570_TMYx.2007-2021.zip</v>
      </c>
    </row>
    <row r="930" spans="1:10" x14ac:dyDescent="0.25">
      <c r="A930" t="s">
        <v>6</v>
      </c>
      <c r="B930" t="s">
        <v>17</v>
      </c>
      <c r="C930" t="s">
        <v>484</v>
      </c>
      <c r="D930">
        <v>712570</v>
      </c>
      <c r="E930" t="s">
        <v>10</v>
      </c>
      <c r="F930">
        <v>51.660299999999999</v>
      </c>
      <c r="G930">
        <v>-112.675</v>
      </c>
      <c r="H930">
        <v>-7</v>
      </c>
      <c r="I930">
        <v>836</v>
      </c>
      <c r="J930" t="str">
        <f>HYPERLINK("https://climate.onebuilding.org/WMO_Region_4_North_and_Central_America/CAN_Canada/AB_Alberta/CAN_AB_Morrin.AgDM.712570_TMYx.2009-2023.zip")</f>
        <v>https://climate.onebuilding.org/WMO_Region_4_North_and_Central_America/CAN_Canada/AB_Alberta/CAN_AB_Morrin.AgDM.712570_TMYx.2009-2023.zip</v>
      </c>
    </row>
    <row r="931" spans="1:10" x14ac:dyDescent="0.25">
      <c r="A931" t="s">
        <v>6</v>
      </c>
      <c r="B931" t="s">
        <v>17</v>
      </c>
      <c r="C931" t="s">
        <v>484</v>
      </c>
      <c r="D931">
        <v>712570</v>
      </c>
      <c r="E931" t="s">
        <v>10</v>
      </c>
      <c r="F931">
        <v>51.660299999999999</v>
      </c>
      <c r="G931">
        <v>-112.675</v>
      </c>
      <c r="H931">
        <v>-7</v>
      </c>
      <c r="I931">
        <v>836</v>
      </c>
      <c r="J931" t="str">
        <f>HYPERLINK("https://climate.onebuilding.org/WMO_Region_4_North_and_Central_America/CAN_Canada/AB_Alberta/CAN_AB_Morrin.AgDM.712570_TMYx.zip")</f>
        <v>https://climate.onebuilding.org/WMO_Region_4_North_and_Central_America/CAN_Canada/AB_Alberta/CAN_AB_Morrin.AgDM.712570_TMYx.zip</v>
      </c>
    </row>
    <row r="932" spans="1:10" x14ac:dyDescent="0.25">
      <c r="A932" t="s">
        <v>6</v>
      </c>
      <c r="B932" t="s">
        <v>17</v>
      </c>
      <c r="C932" t="s">
        <v>486</v>
      </c>
      <c r="D932">
        <v>712580</v>
      </c>
      <c r="E932" t="s">
        <v>487</v>
      </c>
      <c r="F932">
        <v>51.75</v>
      </c>
      <c r="G932">
        <v>-114.06699999999999</v>
      </c>
      <c r="H932">
        <v>-7</v>
      </c>
      <c r="I932">
        <v>1046</v>
      </c>
      <c r="J932" t="str">
        <f>HYPERLINK("https://climate.onebuilding.org/WMO_Region_4_North_and_Central_America/CAN_Canada/AB_Alberta/CAN_AB_Olds.AgDM.712580_TMYx.2004-2018.zip")</f>
        <v>https://climate.onebuilding.org/WMO_Region_4_North_and_Central_America/CAN_Canada/AB_Alberta/CAN_AB_Olds.AgDM.712580_TMYx.2004-2018.zip</v>
      </c>
    </row>
    <row r="933" spans="1:10" x14ac:dyDescent="0.25">
      <c r="A933" t="s">
        <v>6</v>
      </c>
      <c r="B933" t="s">
        <v>17</v>
      </c>
      <c r="C933" t="s">
        <v>486</v>
      </c>
      <c r="D933">
        <v>712580</v>
      </c>
      <c r="E933" t="s">
        <v>10</v>
      </c>
      <c r="F933">
        <v>51.758600000000001</v>
      </c>
      <c r="G933">
        <v>-114.0847</v>
      </c>
      <c r="H933">
        <v>-7</v>
      </c>
      <c r="I933">
        <v>1046</v>
      </c>
      <c r="J933" t="str">
        <f>HYPERLINK("https://climate.onebuilding.org/WMO_Region_4_North_and_Central_America/CAN_Canada/AB_Alberta/CAN_AB_Olds.AgDM.712580_TMYx.2007-2021.zip")</f>
        <v>https://climate.onebuilding.org/WMO_Region_4_North_and_Central_America/CAN_Canada/AB_Alberta/CAN_AB_Olds.AgDM.712580_TMYx.2007-2021.zip</v>
      </c>
    </row>
    <row r="934" spans="1:10" x14ac:dyDescent="0.25">
      <c r="A934" t="s">
        <v>6</v>
      </c>
      <c r="B934" t="s">
        <v>17</v>
      </c>
      <c r="C934" t="s">
        <v>486</v>
      </c>
      <c r="D934">
        <v>712580</v>
      </c>
      <c r="E934" t="s">
        <v>10</v>
      </c>
      <c r="F934">
        <v>51.758600000000001</v>
      </c>
      <c r="G934">
        <v>-114.0847</v>
      </c>
      <c r="H934">
        <v>-7</v>
      </c>
      <c r="I934">
        <v>1046</v>
      </c>
      <c r="J934" t="str">
        <f>HYPERLINK("https://climate.onebuilding.org/WMO_Region_4_North_and_Central_America/CAN_Canada/AB_Alberta/CAN_AB_Olds.AgDM.712580_TMYx.2009-2023.zip")</f>
        <v>https://climate.onebuilding.org/WMO_Region_4_North_and_Central_America/CAN_Canada/AB_Alberta/CAN_AB_Olds.AgDM.712580_TMYx.2009-2023.zip</v>
      </c>
    </row>
    <row r="935" spans="1:10" x14ac:dyDescent="0.25">
      <c r="A935" t="s">
        <v>6</v>
      </c>
      <c r="B935" t="s">
        <v>17</v>
      </c>
      <c r="C935" t="s">
        <v>486</v>
      </c>
      <c r="D935">
        <v>712580</v>
      </c>
      <c r="E935" t="s">
        <v>10</v>
      </c>
      <c r="F935">
        <v>51.758600000000001</v>
      </c>
      <c r="G935">
        <v>-114.0847</v>
      </c>
      <c r="H935">
        <v>-7</v>
      </c>
      <c r="I935">
        <v>1046</v>
      </c>
      <c r="J935" t="str">
        <f>HYPERLINK("https://climate.onebuilding.org/WMO_Region_4_North_and_Central_America/CAN_Canada/AB_Alberta/CAN_AB_Olds.AgDM.712580_TMYx.zip")</f>
        <v>https://climate.onebuilding.org/WMO_Region_4_North_and_Central_America/CAN_Canada/AB_Alberta/CAN_AB_Olds.AgDM.712580_TMYx.zip</v>
      </c>
    </row>
    <row r="936" spans="1:10" x14ac:dyDescent="0.25">
      <c r="A936" t="s">
        <v>6</v>
      </c>
      <c r="B936" t="s">
        <v>17</v>
      </c>
      <c r="C936" t="s">
        <v>488</v>
      </c>
      <c r="D936">
        <v>712590</v>
      </c>
      <c r="E936" t="s">
        <v>489</v>
      </c>
      <c r="F936">
        <v>51.125300000000003</v>
      </c>
      <c r="G936">
        <v>-111.70529999999999</v>
      </c>
      <c r="H936">
        <v>-7</v>
      </c>
      <c r="I936">
        <v>750</v>
      </c>
      <c r="J936" t="str">
        <f>HYPERLINK("https://climate.onebuilding.org/WMO_Region_4_North_and_Central_America/CAN_Canada/AB_Alberta/CAN_AB_Pollockville.AgDM.712590_TMYx.2004-2018.zip")</f>
        <v>https://climate.onebuilding.org/WMO_Region_4_North_and_Central_America/CAN_Canada/AB_Alberta/CAN_AB_Pollockville.AgDM.712590_TMYx.2004-2018.zip</v>
      </c>
    </row>
    <row r="937" spans="1:10" x14ac:dyDescent="0.25">
      <c r="A937" t="s">
        <v>6</v>
      </c>
      <c r="B937" t="s">
        <v>17</v>
      </c>
      <c r="C937" t="s">
        <v>488</v>
      </c>
      <c r="D937">
        <v>712590</v>
      </c>
      <c r="E937" t="s">
        <v>10</v>
      </c>
      <c r="F937">
        <v>51.125300000000003</v>
      </c>
      <c r="G937">
        <v>-111.70529999999999</v>
      </c>
      <c r="H937">
        <v>-7</v>
      </c>
      <c r="I937">
        <v>750</v>
      </c>
      <c r="J937" t="str">
        <f>HYPERLINK("https://climate.onebuilding.org/WMO_Region_4_North_and_Central_America/CAN_Canada/AB_Alberta/CAN_AB_Pollockville.AgDM.712590_TMYx.2007-2021.zip")</f>
        <v>https://climate.onebuilding.org/WMO_Region_4_North_and_Central_America/CAN_Canada/AB_Alberta/CAN_AB_Pollockville.AgDM.712590_TMYx.2007-2021.zip</v>
      </c>
    </row>
    <row r="938" spans="1:10" x14ac:dyDescent="0.25">
      <c r="A938" t="s">
        <v>6</v>
      </c>
      <c r="B938" t="s">
        <v>17</v>
      </c>
      <c r="C938" t="s">
        <v>488</v>
      </c>
      <c r="D938">
        <v>712590</v>
      </c>
      <c r="E938" t="s">
        <v>10</v>
      </c>
      <c r="F938">
        <v>51.125300000000003</v>
      </c>
      <c r="G938">
        <v>-111.70529999999999</v>
      </c>
      <c r="H938">
        <v>-7</v>
      </c>
      <c r="I938">
        <v>750</v>
      </c>
      <c r="J938" t="str">
        <f>HYPERLINK("https://climate.onebuilding.org/WMO_Region_4_North_and_Central_America/CAN_Canada/AB_Alberta/CAN_AB_Pollockville.AgDM.712590_TMYx.2009-2023.zip")</f>
        <v>https://climate.onebuilding.org/WMO_Region_4_North_and_Central_America/CAN_Canada/AB_Alberta/CAN_AB_Pollockville.AgDM.712590_TMYx.2009-2023.zip</v>
      </c>
    </row>
    <row r="939" spans="1:10" x14ac:dyDescent="0.25">
      <c r="A939" t="s">
        <v>6</v>
      </c>
      <c r="B939" t="s">
        <v>17</v>
      </c>
      <c r="C939" t="s">
        <v>488</v>
      </c>
      <c r="D939">
        <v>712590</v>
      </c>
      <c r="E939" t="s">
        <v>10</v>
      </c>
      <c r="F939">
        <v>51.125300000000003</v>
      </c>
      <c r="G939">
        <v>-111.70529999999999</v>
      </c>
      <c r="H939">
        <v>-7</v>
      </c>
      <c r="I939">
        <v>750</v>
      </c>
      <c r="J939" t="str">
        <f>HYPERLINK("https://climate.onebuilding.org/WMO_Region_4_North_and_Central_America/CAN_Canada/AB_Alberta/CAN_AB_Pollockville.AgDM.712590_TMYx.zip")</f>
        <v>https://climate.onebuilding.org/WMO_Region_4_North_and_Central_America/CAN_Canada/AB_Alberta/CAN_AB_Pollockville.AgDM.712590_TMYx.zip</v>
      </c>
    </row>
    <row r="940" spans="1:10" x14ac:dyDescent="0.25">
      <c r="A940" t="s">
        <v>6</v>
      </c>
      <c r="B940" t="s">
        <v>130</v>
      </c>
      <c r="C940" t="s">
        <v>490</v>
      </c>
      <c r="D940">
        <v>712600</v>
      </c>
      <c r="E940" t="s">
        <v>491</v>
      </c>
      <c r="F940">
        <v>46.4833</v>
      </c>
      <c r="G940">
        <v>-84.509500000000003</v>
      </c>
      <c r="H940">
        <v>-5</v>
      </c>
      <c r="I940">
        <v>192</v>
      </c>
      <c r="J940" t="str">
        <f>HYPERLINK("https://climate.onebuilding.org/WMO_Region_4_North_and_Central_America/CAN_Canada/ON_Ontario/CAN_ON_Sault.Ste.Marie.AP.712600_TMYx.2004-2018.zip")</f>
        <v>https://climate.onebuilding.org/WMO_Region_4_North_and_Central_America/CAN_Canada/ON_Ontario/CAN_ON_Sault.Ste.Marie.AP.712600_TMYx.2004-2018.zip</v>
      </c>
    </row>
    <row r="941" spans="1:10" x14ac:dyDescent="0.25">
      <c r="A941" t="s">
        <v>6</v>
      </c>
      <c r="B941" t="s">
        <v>130</v>
      </c>
      <c r="C941" t="s">
        <v>490</v>
      </c>
      <c r="D941">
        <v>712600</v>
      </c>
      <c r="E941" t="s">
        <v>10</v>
      </c>
      <c r="F941">
        <v>46.484000000000002</v>
      </c>
      <c r="G941">
        <v>-84.499200000000002</v>
      </c>
      <c r="H941">
        <v>-5</v>
      </c>
      <c r="I941">
        <v>192</v>
      </c>
      <c r="J941" t="str">
        <f>HYPERLINK("https://climate.onebuilding.org/WMO_Region_4_North_and_Central_America/CAN_Canada/ON_Ontario/CAN_ON_Sault.Ste.Marie.AP.712600_TMYx.2007-2021.zip")</f>
        <v>https://climate.onebuilding.org/WMO_Region_4_North_and_Central_America/CAN_Canada/ON_Ontario/CAN_ON_Sault.Ste.Marie.AP.712600_TMYx.2007-2021.zip</v>
      </c>
    </row>
    <row r="942" spans="1:10" x14ac:dyDescent="0.25">
      <c r="A942" t="s">
        <v>6</v>
      </c>
      <c r="B942" t="s">
        <v>130</v>
      </c>
      <c r="C942" t="s">
        <v>490</v>
      </c>
      <c r="D942">
        <v>712600</v>
      </c>
      <c r="E942" t="s">
        <v>10</v>
      </c>
      <c r="F942">
        <v>46.484000000000002</v>
      </c>
      <c r="G942">
        <v>-84.499200000000002</v>
      </c>
      <c r="H942">
        <v>-5</v>
      </c>
      <c r="I942">
        <v>192</v>
      </c>
      <c r="J942" t="str">
        <f>HYPERLINK("https://climate.onebuilding.org/WMO_Region_4_North_and_Central_America/CAN_Canada/ON_Ontario/CAN_ON_Sault.Ste.Marie.AP.712600_TMYx.2009-2023.zip")</f>
        <v>https://climate.onebuilding.org/WMO_Region_4_North_and_Central_America/CAN_Canada/ON_Ontario/CAN_ON_Sault.Ste.Marie.AP.712600_TMYx.2009-2023.zip</v>
      </c>
    </row>
    <row r="943" spans="1:10" x14ac:dyDescent="0.25">
      <c r="A943" t="s">
        <v>6</v>
      </c>
      <c r="B943" t="s">
        <v>130</v>
      </c>
      <c r="C943" t="s">
        <v>490</v>
      </c>
      <c r="D943">
        <v>712600</v>
      </c>
      <c r="E943" t="s">
        <v>10</v>
      </c>
      <c r="F943">
        <v>46.484000000000002</v>
      </c>
      <c r="G943">
        <v>-84.499200000000002</v>
      </c>
      <c r="H943">
        <v>-5</v>
      </c>
      <c r="I943">
        <v>192</v>
      </c>
      <c r="J943" t="str">
        <f>HYPERLINK("https://climate.onebuilding.org/WMO_Region_4_North_and_Central_America/CAN_Canada/ON_Ontario/CAN_ON_Sault.Ste.Marie.AP.712600_TMYx.zip")</f>
        <v>https://climate.onebuilding.org/WMO_Region_4_North_and_Central_America/CAN_Canada/ON_Ontario/CAN_ON_Sault.Ste.Marie.AP.712600_TMYx.zip</v>
      </c>
    </row>
    <row r="944" spans="1:10" x14ac:dyDescent="0.25">
      <c r="A944" t="s">
        <v>6</v>
      </c>
      <c r="B944" t="s">
        <v>130</v>
      </c>
      <c r="C944" t="s">
        <v>492</v>
      </c>
      <c r="D944">
        <v>712610</v>
      </c>
      <c r="E944" t="s">
        <v>493</v>
      </c>
      <c r="F944">
        <v>43.7667</v>
      </c>
      <c r="G944">
        <v>-81.716700000000003</v>
      </c>
      <c r="H944">
        <v>-5</v>
      </c>
      <c r="I944">
        <v>213.7</v>
      </c>
      <c r="J944" t="str">
        <f>HYPERLINK("https://climate.onebuilding.org/WMO_Region_4_North_and_Central_America/CAN_Canada/ON_Ontario/CAN_ON_Goderich.Muni.AP.712610_TMYx.2004-2018.zip")</f>
        <v>https://climate.onebuilding.org/WMO_Region_4_North_and_Central_America/CAN_Canada/ON_Ontario/CAN_ON_Goderich.Muni.AP.712610_TMYx.2004-2018.zip</v>
      </c>
    </row>
    <row r="945" spans="1:10" x14ac:dyDescent="0.25">
      <c r="A945" t="s">
        <v>6</v>
      </c>
      <c r="B945" t="s">
        <v>130</v>
      </c>
      <c r="C945" t="s">
        <v>492</v>
      </c>
      <c r="D945">
        <v>712610</v>
      </c>
      <c r="E945" t="s">
        <v>10</v>
      </c>
      <c r="F945">
        <v>43.764699999999998</v>
      </c>
      <c r="G945">
        <v>-81.712199999999996</v>
      </c>
      <c r="H945">
        <v>-5</v>
      </c>
      <c r="I945">
        <v>213.7</v>
      </c>
      <c r="J945" t="str">
        <f>HYPERLINK("https://climate.onebuilding.org/WMO_Region_4_North_and_Central_America/CAN_Canada/ON_Ontario/CAN_ON_Goderich.Muni.AP.712610_TMYx.2007-2021.zip")</f>
        <v>https://climate.onebuilding.org/WMO_Region_4_North_and_Central_America/CAN_Canada/ON_Ontario/CAN_ON_Goderich.Muni.AP.712610_TMYx.2007-2021.zip</v>
      </c>
    </row>
    <row r="946" spans="1:10" x14ac:dyDescent="0.25">
      <c r="A946" t="s">
        <v>6</v>
      </c>
      <c r="B946" t="s">
        <v>130</v>
      </c>
      <c r="C946" t="s">
        <v>492</v>
      </c>
      <c r="D946">
        <v>712610</v>
      </c>
      <c r="E946" t="s">
        <v>10</v>
      </c>
      <c r="F946">
        <v>43.764699999999998</v>
      </c>
      <c r="G946">
        <v>-81.712199999999996</v>
      </c>
      <c r="H946">
        <v>-5</v>
      </c>
      <c r="I946">
        <v>213.7</v>
      </c>
      <c r="J946" t="str">
        <f>HYPERLINK("https://climate.onebuilding.org/WMO_Region_4_North_and_Central_America/CAN_Canada/ON_Ontario/CAN_ON_Goderich.Muni.AP.712610_TMYx.2009-2023.zip")</f>
        <v>https://climate.onebuilding.org/WMO_Region_4_North_and_Central_America/CAN_Canada/ON_Ontario/CAN_ON_Goderich.Muni.AP.712610_TMYx.2009-2023.zip</v>
      </c>
    </row>
    <row r="947" spans="1:10" x14ac:dyDescent="0.25">
      <c r="A947" t="s">
        <v>6</v>
      </c>
      <c r="B947" t="s">
        <v>130</v>
      </c>
      <c r="C947" t="s">
        <v>492</v>
      </c>
      <c r="D947">
        <v>712610</v>
      </c>
      <c r="E947" t="s">
        <v>10</v>
      </c>
      <c r="F947">
        <v>43.764699999999998</v>
      </c>
      <c r="G947">
        <v>-81.712199999999996</v>
      </c>
      <c r="H947">
        <v>-5</v>
      </c>
      <c r="I947">
        <v>213.7</v>
      </c>
      <c r="J947" t="str">
        <f>HYPERLINK("https://climate.onebuilding.org/WMO_Region_4_North_and_Central_America/CAN_Canada/ON_Ontario/CAN_ON_Goderich.Muni.AP.712610_TMYx.zip")</f>
        <v>https://climate.onebuilding.org/WMO_Region_4_North_and_Central_America/CAN_Canada/ON_Ontario/CAN_ON_Goderich.Muni.AP.712610_TMYx.zip</v>
      </c>
    </row>
    <row r="948" spans="1:10" x14ac:dyDescent="0.25">
      <c r="A948" t="s">
        <v>6</v>
      </c>
      <c r="B948" t="s">
        <v>130</v>
      </c>
      <c r="C948" t="s">
        <v>494</v>
      </c>
      <c r="D948">
        <v>712625</v>
      </c>
      <c r="E948" t="s">
        <v>495</v>
      </c>
      <c r="F948">
        <v>43.192</v>
      </c>
      <c r="G948">
        <v>-79.171999999999997</v>
      </c>
      <c r="H948">
        <v>-5</v>
      </c>
      <c r="I948">
        <v>97.8</v>
      </c>
      <c r="J948" t="str">
        <f>HYPERLINK("https://climate.onebuilding.org/WMO_Region_4_North_and_Central_America/CAN_Canada/ON_Ontario/CAN_ON_Niagara.District.AP.712625_TMYx.2004-2018.zip")</f>
        <v>https://climate.onebuilding.org/WMO_Region_4_North_and_Central_America/CAN_Canada/ON_Ontario/CAN_ON_Niagara.District.AP.712625_TMYx.2004-2018.zip</v>
      </c>
    </row>
    <row r="949" spans="1:10" x14ac:dyDescent="0.25">
      <c r="A949" t="s">
        <v>6</v>
      </c>
      <c r="B949" t="s">
        <v>130</v>
      </c>
      <c r="C949" t="s">
        <v>494</v>
      </c>
      <c r="D949">
        <v>712625</v>
      </c>
      <c r="E949" t="s">
        <v>10</v>
      </c>
      <c r="F949">
        <v>43.192</v>
      </c>
      <c r="G949">
        <v>-79.171999999999997</v>
      </c>
      <c r="H949">
        <v>-5</v>
      </c>
      <c r="I949">
        <v>97.8</v>
      </c>
      <c r="J949" t="str">
        <f>HYPERLINK("https://climate.onebuilding.org/WMO_Region_4_North_and_Central_America/CAN_Canada/ON_Ontario/CAN_ON_Niagara.District.AP.712625_TMYx.2007-2021.zip")</f>
        <v>https://climate.onebuilding.org/WMO_Region_4_North_and_Central_America/CAN_Canada/ON_Ontario/CAN_ON_Niagara.District.AP.712625_TMYx.2007-2021.zip</v>
      </c>
    </row>
    <row r="950" spans="1:10" x14ac:dyDescent="0.25">
      <c r="A950" t="s">
        <v>6</v>
      </c>
      <c r="B950" t="s">
        <v>130</v>
      </c>
      <c r="C950" t="s">
        <v>494</v>
      </c>
      <c r="D950">
        <v>712625</v>
      </c>
      <c r="E950" t="s">
        <v>10</v>
      </c>
      <c r="F950">
        <v>43.192</v>
      </c>
      <c r="G950">
        <v>-79.171999999999997</v>
      </c>
      <c r="H950">
        <v>-5</v>
      </c>
      <c r="I950">
        <v>97.8</v>
      </c>
      <c r="J950" t="str">
        <f>HYPERLINK("https://climate.onebuilding.org/WMO_Region_4_North_and_Central_America/CAN_Canada/ON_Ontario/CAN_ON_Niagara.District.AP.712625_TMYx.2009-2023.zip")</f>
        <v>https://climate.onebuilding.org/WMO_Region_4_North_and_Central_America/CAN_Canada/ON_Ontario/CAN_ON_Niagara.District.AP.712625_TMYx.2009-2023.zip</v>
      </c>
    </row>
    <row r="951" spans="1:10" x14ac:dyDescent="0.25">
      <c r="A951" t="s">
        <v>6</v>
      </c>
      <c r="B951" t="s">
        <v>130</v>
      </c>
      <c r="C951" t="s">
        <v>494</v>
      </c>
      <c r="D951">
        <v>712625</v>
      </c>
      <c r="E951" t="s">
        <v>10</v>
      </c>
      <c r="F951">
        <v>43.192</v>
      </c>
      <c r="G951">
        <v>-79.171999999999997</v>
      </c>
      <c r="H951">
        <v>-5</v>
      </c>
      <c r="I951">
        <v>97.8</v>
      </c>
      <c r="J951" t="str">
        <f>HYPERLINK("https://climate.onebuilding.org/WMO_Region_4_North_and_Central_America/CAN_Canada/ON_Ontario/CAN_ON_Niagara.District.AP.712625_TMYx.zip")</f>
        <v>https://climate.onebuilding.org/WMO_Region_4_North_and_Central_America/CAN_Canada/ON_Ontario/CAN_ON_Niagara.District.AP.712625_TMYx.zip</v>
      </c>
    </row>
    <row r="952" spans="1:10" x14ac:dyDescent="0.25">
      <c r="A952" t="s">
        <v>6</v>
      </c>
      <c r="B952" t="s">
        <v>130</v>
      </c>
      <c r="C952" t="s">
        <v>496</v>
      </c>
      <c r="D952">
        <v>712630</v>
      </c>
      <c r="E952" t="s">
        <v>497</v>
      </c>
      <c r="F952">
        <v>43.171700000000001</v>
      </c>
      <c r="G952">
        <v>-79.934200000000004</v>
      </c>
      <c r="H952">
        <v>-5</v>
      </c>
      <c r="I952">
        <v>237.7</v>
      </c>
      <c r="J952" t="str">
        <f>HYPERLINK("https://climate.onebuilding.org/WMO_Region_4_North_and_Central_America/CAN_Canada/ON_Ontario/CAN_ON_Hamilton.Intl.AP.712630_TMYx.2004-2018.zip")</f>
        <v>https://climate.onebuilding.org/WMO_Region_4_North_and_Central_America/CAN_Canada/ON_Ontario/CAN_ON_Hamilton.Intl.AP.712630_TMYx.2004-2018.zip</v>
      </c>
    </row>
    <row r="953" spans="1:10" x14ac:dyDescent="0.25">
      <c r="A953" t="s">
        <v>6</v>
      </c>
      <c r="B953" t="s">
        <v>130</v>
      </c>
      <c r="C953" t="s">
        <v>496</v>
      </c>
      <c r="D953">
        <v>712630</v>
      </c>
      <c r="E953" t="s">
        <v>10</v>
      </c>
      <c r="F953">
        <v>43.173400000000001</v>
      </c>
      <c r="G953">
        <v>-79.933999999999997</v>
      </c>
      <c r="H953">
        <v>-5</v>
      </c>
      <c r="I953">
        <v>237.7</v>
      </c>
      <c r="J953" t="str">
        <f>HYPERLINK("https://climate.onebuilding.org/WMO_Region_4_North_and_Central_America/CAN_Canada/ON_Ontario/CAN_ON_Hamilton.Intl.AP.712630_TMYx.2007-2021.zip")</f>
        <v>https://climate.onebuilding.org/WMO_Region_4_North_and_Central_America/CAN_Canada/ON_Ontario/CAN_ON_Hamilton.Intl.AP.712630_TMYx.2007-2021.zip</v>
      </c>
    </row>
    <row r="954" spans="1:10" x14ac:dyDescent="0.25">
      <c r="A954" t="s">
        <v>6</v>
      </c>
      <c r="B954" t="s">
        <v>130</v>
      </c>
      <c r="C954" t="s">
        <v>496</v>
      </c>
      <c r="D954">
        <v>712630</v>
      </c>
      <c r="E954" t="s">
        <v>10</v>
      </c>
      <c r="F954">
        <v>43.173400000000001</v>
      </c>
      <c r="G954">
        <v>-79.933999999999997</v>
      </c>
      <c r="H954">
        <v>-5</v>
      </c>
      <c r="I954">
        <v>237.7</v>
      </c>
      <c r="J954" t="str">
        <f>HYPERLINK("https://climate.onebuilding.org/WMO_Region_4_North_and_Central_America/CAN_Canada/ON_Ontario/CAN_ON_Hamilton.Intl.AP.712630_TMYx.2009-2023.zip")</f>
        <v>https://climate.onebuilding.org/WMO_Region_4_North_and_Central_America/CAN_Canada/ON_Ontario/CAN_ON_Hamilton.Intl.AP.712630_TMYx.2009-2023.zip</v>
      </c>
    </row>
    <row r="955" spans="1:10" x14ac:dyDescent="0.25">
      <c r="A955" t="s">
        <v>6</v>
      </c>
      <c r="B955" t="s">
        <v>130</v>
      </c>
      <c r="C955" t="s">
        <v>496</v>
      </c>
      <c r="D955">
        <v>712630</v>
      </c>
      <c r="E955" t="s">
        <v>10</v>
      </c>
      <c r="F955">
        <v>43.173400000000001</v>
      </c>
      <c r="G955">
        <v>-79.933999999999997</v>
      </c>
      <c r="H955">
        <v>-5</v>
      </c>
      <c r="I955">
        <v>237.7</v>
      </c>
      <c r="J955" t="str">
        <f>HYPERLINK("https://climate.onebuilding.org/WMO_Region_4_North_and_Central_America/CAN_Canada/ON_Ontario/CAN_ON_Hamilton.Intl.AP.712630_TMYx.zip")</f>
        <v>https://climate.onebuilding.org/WMO_Region_4_North_and_Central_America/CAN_Canada/ON_Ontario/CAN_ON_Hamilton.Intl.AP.712630_TMYx.zip</v>
      </c>
    </row>
    <row r="956" spans="1:10" x14ac:dyDescent="0.25">
      <c r="A956" t="s">
        <v>6</v>
      </c>
      <c r="B956" t="s">
        <v>14</v>
      </c>
      <c r="C956" t="s">
        <v>498</v>
      </c>
      <c r="D956">
        <v>712635</v>
      </c>
      <c r="E956" t="s">
        <v>10</v>
      </c>
      <c r="F956">
        <v>46.017000000000003</v>
      </c>
      <c r="G956">
        <v>-73.816999999999993</v>
      </c>
      <c r="H956">
        <v>-5</v>
      </c>
      <c r="I956">
        <v>210</v>
      </c>
      <c r="J956" t="str">
        <f>HYPERLINK("https://climate.onebuilding.org/WMO_Region_4_North_and_Central_America/CAN_Canada/QC_Quebec/CAN_QC_Rawdon.712635_TMYx.zip")</f>
        <v>https://climate.onebuilding.org/WMO_Region_4_North_and_Central_America/CAN_Canada/QC_Quebec/CAN_QC_Rawdon.712635_TMYx.zip</v>
      </c>
    </row>
    <row r="957" spans="1:10" x14ac:dyDescent="0.25">
      <c r="A957" t="s">
        <v>6</v>
      </c>
      <c r="B957" t="s">
        <v>68</v>
      </c>
      <c r="C957" t="s">
        <v>499</v>
      </c>
      <c r="D957">
        <v>712640</v>
      </c>
      <c r="E957" t="s">
        <v>10</v>
      </c>
      <c r="F957">
        <v>44.6297</v>
      </c>
      <c r="G957">
        <v>-63.513300000000001</v>
      </c>
      <c r="H957">
        <v>-4</v>
      </c>
      <c r="I957">
        <v>26</v>
      </c>
      <c r="J957" t="str">
        <f>HYPERLINK("https://climate.onebuilding.org/WMO_Region_4_North_and_Central_America/CAN_Canada/NS_Nova_Scotia/CAN_NS_Shearwater.RCS.712640_TMYx.2007-2021.zip")</f>
        <v>https://climate.onebuilding.org/WMO_Region_4_North_and_Central_America/CAN_Canada/NS_Nova_Scotia/CAN_NS_Shearwater.RCS.712640_TMYx.2007-2021.zip</v>
      </c>
    </row>
    <row r="958" spans="1:10" x14ac:dyDescent="0.25">
      <c r="A958" t="s">
        <v>6</v>
      </c>
      <c r="B958" t="s">
        <v>68</v>
      </c>
      <c r="C958" t="s">
        <v>499</v>
      </c>
      <c r="D958">
        <v>712640</v>
      </c>
      <c r="E958" t="s">
        <v>10</v>
      </c>
      <c r="F958">
        <v>44.6297</v>
      </c>
      <c r="G958">
        <v>-63.513300000000001</v>
      </c>
      <c r="H958">
        <v>-4</v>
      </c>
      <c r="I958">
        <v>26</v>
      </c>
      <c r="J958" t="str">
        <f>HYPERLINK("https://climate.onebuilding.org/WMO_Region_4_North_and_Central_America/CAN_Canada/NS_Nova_Scotia/CAN_NS_Shearwater.RCS.712640_TMYx.2009-2023.zip")</f>
        <v>https://climate.onebuilding.org/WMO_Region_4_North_and_Central_America/CAN_Canada/NS_Nova_Scotia/CAN_NS_Shearwater.RCS.712640_TMYx.2009-2023.zip</v>
      </c>
    </row>
    <row r="959" spans="1:10" x14ac:dyDescent="0.25">
      <c r="A959" t="s">
        <v>6</v>
      </c>
      <c r="B959" t="s">
        <v>68</v>
      </c>
      <c r="C959" t="s">
        <v>499</v>
      </c>
      <c r="D959">
        <v>712640</v>
      </c>
      <c r="E959" t="s">
        <v>10</v>
      </c>
      <c r="F959">
        <v>44.6297</v>
      </c>
      <c r="G959">
        <v>-63.513300000000001</v>
      </c>
      <c r="H959">
        <v>-4</v>
      </c>
      <c r="I959">
        <v>26</v>
      </c>
      <c r="J959" t="str">
        <f>HYPERLINK("https://climate.onebuilding.org/WMO_Region_4_North_and_Central_America/CAN_Canada/NS_Nova_Scotia/CAN_NS_Shearwater.RCS.712640_TMYx.zip")</f>
        <v>https://climate.onebuilding.org/WMO_Region_4_North_and_Central_America/CAN_Canada/NS_Nova_Scotia/CAN_NS_Shearwater.RCS.712640_TMYx.zip</v>
      </c>
    </row>
    <row r="960" spans="1:10" x14ac:dyDescent="0.25">
      <c r="A960" t="s">
        <v>6</v>
      </c>
      <c r="B960" t="s">
        <v>130</v>
      </c>
      <c r="C960" t="s">
        <v>500</v>
      </c>
      <c r="D960">
        <v>712650</v>
      </c>
      <c r="E960" t="s">
        <v>501</v>
      </c>
      <c r="F960">
        <v>43.627499999999998</v>
      </c>
      <c r="G960">
        <v>-79.396600000000007</v>
      </c>
      <c r="H960">
        <v>-5</v>
      </c>
      <c r="I960">
        <v>76.5</v>
      </c>
      <c r="J960" t="str">
        <f>HYPERLINK("https://climate.onebuilding.org/WMO_Region_4_North_and_Central_America/CAN_Canada/ON_Ontario/CAN_ON_Bishop-Toronto.City.AP.712650_TMYx.2004-2018.zip")</f>
        <v>https://climate.onebuilding.org/WMO_Region_4_North_and_Central_America/CAN_Canada/ON_Ontario/CAN_ON_Bishop-Toronto.City.AP.712650_TMYx.2004-2018.zip</v>
      </c>
    </row>
    <row r="961" spans="1:10" x14ac:dyDescent="0.25">
      <c r="A961" t="s">
        <v>6</v>
      </c>
      <c r="B961" t="s">
        <v>130</v>
      </c>
      <c r="C961" t="s">
        <v>500</v>
      </c>
      <c r="D961">
        <v>712650</v>
      </c>
      <c r="E961" t="s">
        <v>10</v>
      </c>
      <c r="F961">
        <v>43.627499999999998</v>
      </c>
      <c r="G961">
        <v>-79.396600000000007</v>
      </c>
      <c r="H961">
        <v>-5</v>
      </c>
      <c r="I961">
        <v>76.5</v>
      </c>
      <c r="J961" t="str">
        <f>HYPERLINK("https://climate.onebuilding.org/WMO_Region_4_North_and_Central_America/CAN_Canada/ON_Ontario/CAN_ON_Bishop-Toronto.City.AP.712650_TMYx.2007-2021.zip")</f>
        <v>https://climate.onebuilding.org/WMO_Region_4_North_and_Central_America/CAN_Canada/ON_Ontario/CAN_ON_Bishop-Toronto.City.AP.712650_TMYx.2007-2021.zip</v>
      </c>
    </row>
    <row r="962" spans="1:10" x14ac:dyDescent="0.25">
      <c r="A962" t="s">
        <v>6</v>
      </c>
      <c r="B962" t="s">
        <v>130</v>
      </c>
      <c r="C962" t="s">
        <v>500</v>
      </c>
      <c r="D962">
        <v>712650</v>
      </c>
      <c r="E962" t="s">
        <v>10</v>
      </c>
      <c r="F962">
        <v>43.627499999999998</v>
      </c>
      <c r="G962">
        <v>-79.396600000000007</v>
      </c>
      <c r="H962">
        <v>-5</v>
      </c>
      <c r="I962">
        <v>76.5</v>
      </c>
      <c r="J962" t="str">
        <f>HYPERLINK("https://climate.onebuilding.org/WMO_Region_4_North_and_Central_America/CAN_Canada/ON_Ontario/CAN_ON_Bishop-Toronto.City.AP.712650_TMYx.2009-2023.zip")</f>
        <v>https://climate.onebuilding.org/WMO_Region_4_North_and_Central_America/CAN_Canada/ON_Ontario/CAN_ON_Bishop-Toronto.City.AP.712650_TMYx.2009-2023.zip</v>
      </c>
    </row>
    <row r="963" spans="1:10" x14ac:dyDescent="0.25">
      <c r="A963" t="s">
        <v>6</v>
      </c>
      <c r="B963" t="s">
        <v>130</v>
      </c>
      <c r="C963" t="s">
        <v>500</v>
      </c>
      <c r="D963">
        <v>712650</v>
      </c>
      <c r="E963" t="s">
        <v>10</v>
      </c>
      <c r="F963">
        <v>43.627499999999998</v>
      </c>
      <c r="G963">
        <v>-79.396600000000007</v>
      </c>
      <c r="H963">
        <v>-5</v>
      </c>
      <c r="I963">
        <v>76.5</v>
      </c>
      <c r="J963" t="str">
        <f>HYPERLINK("https://climate.onebuilding.org/WMO_Region_4_North_and_Central_America/CAN_Canada/ON_Ontario/CAN_ON_Bishop-Toronto.City.AP.712650_TMYx.zip")</f>
        <v>https://climate.onebuilding.org/WMO_Region_4_North_and_Central_America/CAN_Canada/ON_Ontario/CAN_ON_Bishop-Toronto.City.AP.712650_TMYx.zip</v>
      </c>
    </row>
    <row r="964" spans="1:10" x14ac:dyDescent="0.25">
      <c r="A964" t="s">
        <v>6</v>
      </c>
      <c r="B964" t="s">
        <v>17</v>
      </c>
      <c r="C964" t="s">
        <v>502</v>
      </c>
      <c r="D964">
        <v>712670</v>
      </c>
      <c r="E964" t="s">
        <v>503</v>
      </c>
      <c r="F964">
        <v>49.630299999999998</v>
      </c>
      <c r="G964">
        <v>-112.7989</v>
      </c>
      <c r="H964">
        <v>-7</v>
      </c>
      <c r="I964">
        <v>929</v>
      </c>
      <c r="J964" t="str">
        <f>HYPERLINK("https://climate.onebuilding.org/WMO_Region_4_North_and_Central_America/CAN_Canada/AB_Alberta/CAN_AB_Lethbridge.AP.712670_TMYx.2004-2018.zip")</f>
        <v>https://climate.onebuilding.org/WMO_Region_4_North_and_Central_America/CAN_Canada/AB_Alberta/CAN_AB_Lethbridge.AP.712670_TMYx.2004-2018.zip</v>
      </c>
    </row>
    <row r="965" spans="1:10" x14ac:dyDescent="0.25">
      <c r="A965" t="s">
        <v>6</v>
      </c>
      <c r="B965" t="s">
        <v>17</v>
      </c>
      <c r="C965" t="s">
        <v>502</v>
      </c>
      <c r="D965">
        <v>712670</v>
      </c>
      <c r="E965" t="s">
        <v>10</v>
      </c>
      <c r="F965">
        <v>49.625999999999998</v>
      </c>
      <c r="G965">
        <v>-112.794</v>
      </c>
      <c r="H965">
        <v>-7</v>
      </c>
      <c r="I965">
        <v>929</v>
      </c>
      <c r="J965" t="str">
        <f>HYPERLINK("https://climate.onebuilding.org/WMO_Region_4_North_and_Central_America/CAN_Canada/AB_Alberta/CAN_AB_Lethbridge.AP.712670_TMYx.2007-2021.zip")</f>
        <v>https://climate.onebuilding.org/WMO_Region_4_North_and_Central_America/CAN_Canada/AB_Alberta/CAN_AB_Lethbridge.AP.712670_TMYx.2007-2021.zip</v>
      </c>
    </row>
    <row r="966" spans="1:10" x14ac:dyDescent="0.25">
      <c r="A966" t="s">
        <v>6</v>
      </c>
      <c r="B966" t="s">
        <v>17</v>
      </c>
      <c r="C966" t="s">
        <v>502</v>
      </c>
      <c r="D966">
        <v>712670</v>
      </c>
      <c r="E966" t="s">
        <v>10</v>
      </c>
      <c r="F966">
        <v>49.625999999999998</v>
      </c>
      <c r="G966">
        <v>-112.794</v>
      </c>
      <c r="H966">
        <v>-7</v>
      </c>
      <c r="I966">
        <v>929</v>
      </c>
      <c r="J966" t="str">
        <f>HYPERLINK("https://climate.onebuilding.org/WMO_Region_4_North_and_Central_America/CAN_Canada/AB_Alberta/CAN_AB_Lethbridge.AP.712670_TMYx.2009-2023.zip")</f>
        <v>https://climate.onebuilding.org/WMO_Region_4_North_and_Central_America/CAN_Canada/AB_Alberta/CAN_AB_Lethbridge.AP.712670_TMYx.2009-2023.zip</v>
      </c>
    </row>
    <row r="967" spans="1:10" x14ac:dyDescent="0.25">
      <c r="A967" t="s">
        <v>6</v>
      </c>
      <c r="B967" t="s">
        <v>17</v>
      </c>
      <c r="C967" t="s">
        <v>502</v>
      </c>
      <c r="D967">
        <v>712670</v>
      </c>
      <c r="E967" t="s">
        <v>10</v>
      </c>
      <c r="F967">
        <v>49.625999999999998</v>
      </c>
      <c r="G967">
        <v>-112.794</v>
      </c>
      <c r="H967">
        <v>-7</v>
      </c>
      <c r="I967">
        <v>929</v>
      </c>
      <c r="J967" t="str">
        <f>HYPERLINK("https://climate.onebuilding.org/WMO_Region_4_North_and_Central_America/CAN_Canada/AB_Alberta/CAN_AB_Lethbridge.AP.712670_TMYx.zip")</f>
        <v>https://climate.onebuilding.org/WMO_Region_4_North_and_Central_America/CAN_Canada/AB_Alberta/CAN_AB_Lethbridge.AP.712670_TMYx.zip</v>
      </c>
    </row>
    <row r="968" spans="1:10" x14ac:dyDescent="0.25">
      <c r="A968" t="s">
        <v>6</v>
      </c>
      <c r="B968" t="s">
        <v>17</v>
      </c>
      <c r="C968" t="s">
        <v>504</v>
      </c>
      <c r="D968">
        <v>712690</v>
      </c>
      <c r="E968" t="s">
        <v>505</v>
      </c>
      <c r="F968">
        <v>50.306899999999999</v>
      </c>
      <c r="G968">
        <v>-110.09059999999999</v>
      </c>
      <c r="H968">
        <v>-7</v>
      </c>
      <c r="I968">
        <v>800</v>
      </c>
      <c r="J968" t="str">
        <f>HYPERLINK("https://climate.onebuilding.org/WMO_Region_4_North_and_Central_America/CAN_Canada/AB_Alberta/CAN_AB_Schuler.AgDM.712690_TMYx.2004-2018.zip")</f>
        <v>https://climate.onebuilding.org/WMO_Region_4_North_and_Central_America/CAN_Canada/AB_Alberta/CAN_AB_Schuler.AgDM.712690_TMYx.2004-2018.zip</v>
      </c>
    </row>
    <row r="969" spans="1:10" x14ac:dyDescent="0.25">
      <c r="A969" t="s">
        <v>6</v>
      </c>
      <c r="B969" t="s">
        <v>17</v>
      </c>
      <c r="C969" t="s">
        <v>504</v>
      </c>
      <c r="D969">
        <v>712690</v>
      </c>
      <c r="E969" t="s">
        <v>10</v>
      </c>
      <c r="F969">
        <v>50.306899999999999</v>
      </c>
      <c r="G969">
        <v>-110.09059999999999</v>
      </c>
      <c r="H969">
        <v>-7</v>
      </c>
      <c r="I969">
        <v>800</v>
      </c>
      <c r="J969" t="str">
        <f>HYPERLINK("https://climate.onebuilding.org/WMO_Region_4_North_and_Central_America/CAN_Canada/AB_Alberta/CAN_AB_Schuler.AgDM.712690_TMYx.2007-2021.zip")</f>
        <v>https://climate.onebuilding.org/WMO_Region_4_North_and_Central_America/CAN_Canada/AB_Alberta/CAN_AB_Schuler.AgDM.712690_TMYx.2007-2021.zip</v>
      </c>
    </row>
    <row r="970" spans="1:10" x14ac:dyDescent="0.25">
      <c r="A970" t="s">
        <v>6</v>
      </c>
      <c r="B970" t="s">
        <v>17</v>
      </c>
      <c r="C970" t="s">
        <v>504</v>
      </c>
      <c r="D970">
        <v>712690</v>
      </c>
      <c r="E970" t="s">
        <v>10</v>
      </c>
      <c r="F970">
        <v>50.306899999999999</v>
      </c>
      <c r="G970">
        <v>-110.09059999999999</v>
      </c>
      <c r="H970">
        <v>-7</v>
      </c>
      <c r="I970">
        <v>800</v>
      </c>
      <c r="J970" t="str">
        <f>HYPERLINK("https://climate.onebuilding.org/WMO_Region_4_North_and_Central_America/CAN_Canada/AB_Alberta/CAN_AB_Schuler.AgDM.712690_TMYx.2009-2023.zip")</f>
        <v>https://climate.onebuilding.org/WMO_Region_4_North_and_Central_America/CAN_Canada/AB_Alberta/CAN_AB_Schuler.AgDM.712690_TMYx.2009-2023.zip</v>
      </c>
    </row>
    <row r="971" spans="1:10" x14ac:dyDescent="0.25">
      <c r="A971" t="s">
        <v>6</v>
      </c>
      <c r="B971" t="s">
        <v>17</v>
      </c>
      <c r="C971" t="s">
        <v>504</v>
      </c>
      <c r="D971">
        <v>712690</v>
      </c>
      <c r="E971" t="s">
        <v>10</v>
      </c>
      <c r="F971">
        <v>50.306899999999999</v>
      </c>
      <c r="G971">
        <v>-110.09059999999999</v>
      </c>
      <c r="H971">
        <v>-7</v>
      </c>
      <c r="I971">
        <v>800</v>
      </c>
      <c r="J971" t="str">
        <f>HYPERLINK("https://climate.onebuilding.org/WMO_Region_4_North_and_Central_America/CAN_Canada/AB_Alberta/CAN_AB_Schuler.AgDM.712690_TMYx.zip")</f>
        <v>https://climate.onebuilding.org/WMO_Region_4_North_and_Central_America/CAN_Canada/AB_Alberta/CAN_AB_Schuler.AgDM.712690_TMYx.zip</v>
      </c>
    </row>
    <row r="972" spans="1:10" x14ac:dyDescent="0.25">
      <c r="A972" t="s">
        <v>6</v>
      </c>
      <c r="B972" t="s">
        <v>130</v>
      </c>
      <c r="C972" t="s">
        <v>506</v>
      </c>
      <c r="D972">
        <v>712700</v>
      </c>
      <c r="E972" t="s">
        <v>507</v>
      </c>
      <c r="F972">
        <v>44.5</v>
      </c>
      <c r="G972">
        <v>-80.216700000000003</v>
      </c>
      <c r="H972">
        <v>-5</v>
      </c>
      <c r="I972">
        <v>179.8</v>
      </c>
      <c r="J972" t="str">
        <f>HYPERLINK("https://climate.onebuilding.org/WMO_Region_4_North_and_Central_America/CAN_Canada/ON_Ontario/CAN_ON_Collingwood.712700_TMYx.2004-2018.zip")</f>
        <v>https://climate.onebuilding.org/WMO_Region_4_North_and_Central_America/CAN_Canada/ON_Ontario/CAN_ON_Collingwood.712700_TMYx.2004-2018.zip</v>
      </c>
    </row>
    <row r="973" spans="1:10" x14ac:dyDescent="0.25">
      <c r="A973" t="s">
        <v>6</v>
      </c>
      <c r="B973" t="s">
        <v>130</v>
      </c>
      <c r="C973" t="s">
        <v>506</v>
      </c>
      <c r="D973">
        <v>712700</v>
      </c>
      <c r="E973" t="s">
        <v>10</v>
      </c>
      <c r="F973">
        <v>44.505000000000003</v>
      </c>
      <c r="G973">
        <v>-80.22278</v>
      </c>
      <c r="H973">
        <v>-5</v>
      </c>
      <c r="I973">
        <v>179.8</v>
      </c>
      <c r="J973" t="str">
        <f>HYPERLINK("https://climate.onebuilding.org/WMO_Region_4_North_and_Central_America/CAN_Canada/ON_Ontario/CAN_ON_Collingwood.712700_TMYx.2007-2021.zip")</f>
        <v>https://climate.onebuilding.org/WMO_Region_4_North_and_Central_America/CAN_Canada/ON_Ontario/CAN_ON_Collingwood.712700_TMYx.2007-2021.zip</v>
      </c>
    </row>
    <row r="974" spans="1:10" x14ac:dyDescent="0.25">
      <c r="A974" t="s">
        <v>6</v>
      </c>
      <c r="B974" t="s">
        <v>130</v>
      </c>
      <c r="C974" t="s">
        <v>506</v>
      </c>
      <c r="D974">
        <v>712700</v>
      </c>
      <c r="E974" t="s">
        <v>10</v>
      </c>
      <c r="F974">
        <v>44.505000000000003</v>
      </c>
      <c r="G974">
        <v>-80.22278</v>
      </c>
      <c r="H974">
        <v>-5</v>
      </c>
      <c r="I974">
        <v>179.8</v>
      </c>
      <c r="J974" t="str">
        <f>HYPERLINK("https://climate.onebuilding.org/WMO_Region_4_North_and_Central_America/CAN_Canada/ON_Ontario/CAN_ON_Collingwood.712700_TMYx.2009-2023.zip")</f>
        <v>https://climate.onebuilding.org/WMO_Region_4_North_and_Central_America/CAN_Canada/ON_Ontario/CAN_ON_Collingwood.712700_TMYx.2009-2023.zip</v>
      </c>
    </row>
    <row r="975" spans="1:10" x14ac:dyDescent="0.25">
      <c r="A975" t="s">
        <v>6</v>
      </c>
      <c r="B975" t="s">
        <v>130</v>
      </c>
      <c r="C975" t="s">
        <v>506</v>
      </c>
      <c r="D975">
        <v>712700</v>
      </c>
      <c r="E975" t="s">
        <v>10</v>
      </c>
      <c r="F975">
        <v>44.505000000000003</v>
      </c>
      <c r="G975">
        <v>-80.22278</v>
      </c>
      <c r="H975">
        <v>-5</v>
      </c>
      <c r="I975">
        <v>179.8</v>
      </c>
      <c r="J975" t="str">
        <f>HYPERLINK("https://climate.onebuilding.org/WMO_Region_4_North_and_Central_America/CAN_Canada/ON_Ontario/CAN_ON_Collingwood.712700_TMYx.zip")</f>
        <v>https://climate.onebuilding.org/WMO_Region_4_North_and_Central_America/CAN_Canada/ON_Ontario/CAN_ON_Collingwood.712700_TMYx.zip</v>
      </c>
    </row>
    <row r="976" spans="1:10" x14ac:dyDescent="0.25">
      <c r="A976" t="s">
        <v>6</v>
      </c>
      <c r="B976" t="s">
        <v>17</v>
      </c>
      <c r="C976" t="s">
        <v>508</v>
      </c>
      <c r="D976">
        <v>712710</v>
      </c>
      <c r="E976" t="s">
        <v>509</v>
      </c>
      <c r="F976">
        <v>54.634700000000002</v>
      </c>
      <c r="G976">
        <v>-113.3819</v>
      </c>
      <c r="H976">
        <v>-8</v>
      </c>
      <c r="I976">
        <v>635</v>
      </c>
      <c r="J976" t="str">
        <f>HYPERLINK("https://climate.onebuilding.org/WMO_Region_4_North_and_Central_America/CAN_Canada/AB_Alberta/CAN_AB_Athabasca.AgCM.712710_TMYx.2004-2018.zip")</f>
        <v>https://climate.onebuilding.org/WMO_Region_4_North_and_Central_America/CAN_Canada/AB_Alberta/CAN_AB_Athabasca.AgCM.712710_TMYx.2004-2018.zip</v>
      </c>
    </row>
    <row r="977" spans="1:10" x14ac:dyDescent="0.25">
      <c r="A977" t="s">
        <v>6</v>
      </c>
      <c r="B977" t="s">
        <v>17</v>
      </c>
      <c r="C977" t="s">
        <v>508</v>
      </c>
      <c r="D977">
        <v>712710</v>
      </c>
      <c r="E977" t="s">
        <v>10</v>
      </c>
      <c r="F977">
        <v>54.634700000000002</v>
      </c>
      <c r="G977">
        <v>-113.3819</v>
      </c>
      <c r="H977">
        <v>-7</v>
      </c>
      <c r="I977">
        <v>635</v>
      </c>
      <c r="J977" t="str">
        <f>HYPERLINK("https://climate.onebuilding.org/WMO_Region_4_North_and_Central_America/CAN_Canada/AB_Alberta/CAN_AB_Athabasca.AgCM.712710_TMYx.2007-2021.zip")</f>
        <v>https://climate.onebuilding.org/WMO_Region_4_North_and_Central_America/CAN_Canada/AB_Alberta/CAN_AB_Athabasca.AgCM.712710_TMYx.2007-2021.zip</v>
      </c>
    </row>
    <row r="978" spans="1:10" x14ac:dyDescent="0.25">
      <c r="A978" t="s">
        <v>6</v>
      </c>
      <c r="B978" t="s">
        <v>17</v>
      </c>
      <c r="C978" t="s">
        <v>508</v>
      </c>
      <c r="D978">
        <v>712710</v>
      </c>
      <c r="E978" t="s">
        <v>10</v>
      </c>
      <c r="F978">
        <v>54.634700000000002</v>
      </c>
      <c r="G978">
        <v>-113.3819</v>
      </c>
      <c r="H978">
        <v>-7</v>
      </c>
      <c r="I978">
        <v>635</v>
      </c>
      <c r="J978" t="str">
        <f>HYPERLINK("https://climate.onebuilding.org/WMO_Region_4_North_and_Central_America/CAN_Canada/AB_Alberta/CAN_AB_Athabasca.AgCM.712710_TMYx.2009-2023.zip")</f>
        <v>https://climate.onebuilding.org/WMO_Region_4_North_and_Central_America/CAN_Canada/AB_Alberta/CAN_AB_Athabasca.AgCM.712710_TMYx.2009-2023.zip</v>
      </c>
    </row>
    <row r="979" spans="1:10" x14ac:dyDescent="0.25">
      <c r="A979" t="s">
        <v>6</v>
      </c>
      <c r="B979" t="s">
        <v>17</v>
      </c>
      <c r="C979" t="s">
        <v>508</v>
      </c>
      <c r="D979">
        <v>712710</v>
      </c>
      <c r="E979" t="s">
        <v>10</v>
      </c>
      <c r="F979">
        <v>54.634700000000002</v>
      </c>
      <c r="G979">
        <v>-113.3819</v>
      </c>
      <c r="H979">
        <v>-7</v>
      </c>
      <c r="I979">
        <v>635</v>
      </c>
      <c r="J979" t="str">
        <f>HYPERLINK("https://climate.onebuilding.org/WMO_Region_4_North_and_Central_America/CAN_Canada/AB_Alberta/CAN_AB_Athabasca.AgCM.712710_TMYx.zip")</f>
        <v>https://climate.onebuilding.org/WMO_Region_4_North_and_Central_America/CAN_Canada/AB_Alberta/CAN_AB_Athabasca.AgCM.712710_TMYx.zip</v>
      </c>
    </row>
    <row r="980" spans="1:10" x14ac:dyDescent="0.25">
      <c r="A980" t="s">
        <v>6</v>
      </c>
      <c r="B980" t="s">
        <v>94</v>
      </c>
      <c r="C980" t="s">
        <v>510</v>
      </c>
      <c r="D980">
        <v>712720</v>
      </c>
      <c r="E980" t="s">
        <v>511</v>
      </c>
      <c r="F980">
        <v>58.706099999999999</v>
      </c>
      <c r="G980">
        <v>-98.512200000000007</v>
      </c>
      <c r="H980">
        <v>-6</v>
      </c>
      <c r="I980">
        <v>281.3</v>
      </c>
      <c r="J980" t="str">
        <f>HYPERLINK("https://climate.onebuilding.org/WMO_Region_4_North_and_Central_America/CAN_Canada/MB_Manitoba/CAN_MB_Tadoule.Lake.AP.712720_TMYx.2004-2018.zip")</f>
        <v>https://climate.onebuilding.org/WMO_Region_4_North_and_Central_America/CAN_Canada/MB_Manitoba/CAN_MB_Tadoule.Lake.AP.712720_TMYx.2004-2018.zip</v>
      </c>
    </row>
    <row r="981" spans="1:10" x14ac:dyDescent="0.25">
      <c r="A981" t="s">
        <v>6</v>
      </c>
      <c r="B981" t="s">
        <v>94</v>
      </c>
      <c r="C981" t="s">
        <v>510</v>
      </c>
      <c r="D981">
        <v>712720</v>
      </c>
      <c r="E981" t="s">
        <v>10</v>
      </c>
      <c r="F981">
        <v>58.706099999999999</v>
      </c>
      <c r="G981">
        <v>-98.512200000000007</v>
      </c>
      <c r="H981">
        <v>-6</v>
      </c>
      <c r="I981">
        <v>281.3</v>
      </c>
      <c r="J981" t="str">
        <f>HYPERLINK("https://climate.onebuilding.org/WMO_Region_4_North_and_Central_America/CAN_Canada/MB_Manitoba/CAN_MB_Tadoule.Lake.AP.712720_TMYx.2007-2021.zip")</f>
        <v>https://climate.onebuilding.org/WMO_Region_4_North_and_Central_America/CAN_Canada/MB_Manitoba/CAN_MB_Tadoule.Lake.AP.712720_TMYx.2007-2021.zip</v>
      </c>
    </row>
    <row r="982" spans="1:10" x14ac:dyDescent="0.25">
      <c r="A982" t="s">
        <v>6</v>
      </c>
      <c r="B982" t="s">
        <v>94</v>
      </c>
      <c r="C982" t="s">
        <v>510</v>
      </c>
      <c r="D982">
        <v>712720</v>
      </c>
      <c r="E982" t="s">
        <v>10</v>
      </c>
      <c r="F982">
        <v>58.706099999999999</v>
      </c>
      <c r="G982">
        <v>-98.512200000000007</v>
      </c>
      <c r="H982">
        <v>-6</v>
      </c>
      <c r="I982">
        <v>281.3</v>
      </c>
      <c r="J982" t="str">
        <f>HYPERLINK("https://climate.onebuilding.org/WMO_Region_4_North_and_Central_America/CAN_Canada/MB_Manitoba/CAN_MB_Tadoule.Lake.AP.712720_TMYx.2009-2023.zip")</f>
        <v>https://climate.onebuilding.org/WMO_Region_4_North_and_Central_America/CAN_Canada/MB_Manitoba/CAN_MB_Tadoule.Lake.AP.712720_TMYx.2009-2023.zip</v>
      </c>
    </row>
    <row r="983" spans="1:10" x14ac:dyDescent="0.25">
      <c r="A983" t="s">
        <v>6</v>
      </c>
      <c r="B983" t="s">
        <v>94</v>
      </c>
      <c r="C983" t="s">
        <v>510</v>
      </c>
      <c r="D983">
        <v>712720</v>
      </c>
      <c r="E983" t="s">
        <v>10</v>
      </c>
      <c r="F983">
        <v>58.706099999999999</v>
      </c>
      <c r="G983">
        <v>-98.512200000000007</v>
      </c>
      <c r="H983">
        <v>-6</v>
      </c>
      <c r="I983">
        <v>281.3</v>
      </c>
      <c r="J983" t="str">
        <f>HYPERLINK("https://climate.onebuilding.org/WMO_Region_4_North_and_Central_America/CAN_Canada/MB_Manitoba/CAN_MB_Tadoule.Lake.AP.712720_TMYx.zip")</f>
        <v>https://climate.onebuilding.org/WMO_Region_4_North_and_Central_America/CAN_Canada/MB_Manitoba/CAN_MB_Tadoule.Lake.AP.712720_TMYx.zip</v>
      </c>
    </row>
    <row r="984" spans="1:10" x14ac:dyDescent="0.25">
      <c r="A984" t="s">
        <v>6</v>
      </c>
      <c r="B984" t="s">
        <v>58</v>
      </c>
      <c r="C984" t="s">
        <v>512</v>
      </c>
      <c r="D984">
        <v>712730</v>
      </c>
      <c r="E984" t="s">
        <v>513</v>
      </c>
      <c r="F984">
        <v>54.0197</v>
      </c>
      <c r="G984">
        <v>-109.1383</v>
      </c>
      <c r="H984">
        <v>-6</v>
      </c>
      <c r="I984">
        <v>545.6</v>
      </c>
      <c r="J984" t="str">
        <f>HYPERLINK("https://climate.onebuilding.org/WMO_Region_4_North_and_Central_America/CAN_Canada/SK_Saskatchewan/CAN_SK_Loon.Lake.AP.RCS.712730_TMYx.2004-2018.zip")</f>
        <v>https://climate.onebuilding.org/WMO_Region_4_North_and_Central_America/CAN_Canada/SK_Saskatchewan/CAN_SK_Loon.Lake.AP.RCS.712730_TMYx.2004-2018.zip</v>
      </c>
    </row>
    <row r="985" spans="1:10" x14ac:dyDescent="0.25">
      <c r="A985" t="s">
        <v>6</v>
      </c>
      <c r="B985" t="s">
        <v>58</v>
      </c>
      <c r="C985" t="s">
        <v>512</v>
      </c>
      <c r="D985">
        <v>712730</v>
      </c>
      <c r="E985" t="s">
        <v>10</v>
      </c>
      <c r="F985">
        <v>54.0197</v>
      </c>
      <c r="G985">
        <v>-109.1383</v>
      </c>
      <c r="H985">
        <v>-6</v>
      </c>
      <c r="I985">
        <v>545.6</v>
      </c>
      <c r="J985" t="str">
        <f>HYPERLINK("https://climate.onebuilding.org/WMO_Region_4_North_and_Central_America/CAN_Canada/SK_Saskatchewan/CAN_SK_Loon.Lake.AP.RCS.712730_TMYx.2007-2021.zip")</f>
        <v>https://climate.onebuilding.org/WMO_Region_4_North_and_Central_America/CAN_Canada/SK_Saskatchewan/CAN_SK_Loon.Lake.AP.RCS.712730_TMYx.2007-2021.zip</v>
      </c>
    </row>
    <row r="986" spans="1:10" x14ac:dyDescent="0.25">
      <c r="A986" t="s">
        <v>6</v>
      </c>
      <c r="B986" t="s">
        <v>58</v>
      </c>
      <c r="C986" t="s">
        <v>512</v>
      </c>
      <c r="D986">
        <v>712730</v>
      </c>
      <c r="E986" t="s">
        <v>10</v>
      </c>
      <c r="F986">
        <v>54.0197</v>
      </c>
      <c r="G986">
        <v>-109.1383</v>
      </c>
      <c r="H986">
        <v>-6</v>
      </c>
      <c r="I986">
        <v>545.6</v>
      </c>
      <c r="J986" t="str">
        <f>HYPERLINK("https://climate.onebuilding.org/WMO_Region_4_North_and_Central_America/CAN_Canada/SK_Saskatchewan/CAN_SK_Loon.Lake.AP.RCS.712730_TMYx.2009-2023.zip")</f>
        <v>https://climate.onebuilding.org/WMO_Region_4_North_and_Central_America/CAN_Canada/SK_Saskatchewan/CAN_SK_Loon.Lake.AP.RCS.712730_TMYx.2009-2023.zip</v>
      </c>
    </row>
    <row r="987" spans="1:10" x14ac:dyDescent="0.25">
      <c r="A987" t="s">
        <v>6</v>
      </c>
      <c r="B987" t="s">
        <v>58</v>
      </c>
      <c r="C987" t="s">
        <v>512</v>
      </c>
      <c r="D987">
        <v>712730</v>
      </c>
      <c r="E987" t="s">
        <v>10</v>
      </c>
      <c r="F987">
        <v>54.0197</v>
      </c>
      <c r="G987">
        <v>-109.1383</v>
      </c>
      <c r="H987">
        <v>-6</v>
      </c>
      <c r="I987">
        <v>545.6</v>
      </c>
      <c r="J987" t="str">
        <f>HYPERLINK("https://climate.onebuilding.org/WMO_Region_4_North_and_Central_America/CAN_Canada/SK_Saskatchewan/CAN_SK_Loon.Lake.AP.RCS.712730_TMYx.zip")</f>
        <v>https://climate.onebuilding.org/WMO_Region_4_North_and_Central_America/CAN_Canada/SK_Saskatchewan/CAN_SK_Loon.Lake.AP.RCS.712730_TMYx.zip</v>
      </c>
    </row>
    <row r="988" spans="1:10" x14ac:dyDescent="0.25">
      <c r="A988" t="s">
        <v>6</v>
      </c>
      <c r="B988" t="s">
        <v>17</v>
      </c>
      <c r="C988" t="s">
        <v>514</v>
      </c>
      <c r="D988">
        <v>712740</v>
      </c>
      <c r="E988" t="s">
        <v>515</v>
      </c>
      <c r="F988">
        <v>54.267000000000003</v>
      </c>
      <c r="G988">
        <v>-112.483</v>
      </c>
      <c r="H988">
        <v>-7</v>
      </c>
      <c r="I988">
        <v>680</v>
      </c>
      <c r="J988" t="str">
        <f>HYPERLINK("https://climate.onebuilding.org/WMO_Region_4_North_and_Central_America/CAN_Canada/AB_Alberta/CAN_AB_Smoky.Lake.AgDM.712740_TMYx.2004-2018.zip")</f>
        <v>https://climate.onebuilding.org/WMO_Region_4_North_and_Central_America/CAN_Canada/AB_Alberta/CAN_AB_Smoky.Lake.AgDM.712740_TMYx.2004-2018.zip</v>
      </c>
    </row>
    <row r="989" spans="1:10" x14ac:dyDescent="0.25">
      <c r="A989" t="s">
        <v>6</v>
      </c>
      <c r="B989" t="s">
        <v>17</v>
      </c>
      <c r="C989" t="s">
        <v>514</v>
      </c>
      <c r="D989">
        <v>712740</v>
      </c>
      <c r="E989" t="s">
        <v>10</v>
      </c>
      <c r="F989">
        <v>54.265000000000001</v>
      </c>
      <c r="G989">
        <v>-112.504</v>
      </c>
      <c r="H989">
        <v>-7</v>
      </c>
      <c r="I989">
        <v>680</v>
      </c>
      <c r="J989" t="str">
        <f>HYPERLINK("https://climate.onebuilding.org/WMO_Region_4_North_and_Central_America/CAN_Canada/AB_Alberta/CAN_AB_Smoky.Lake.AgDM.712740_TMYx.2007-2021.zip")</f>
        <v>https://climate.onebuilding.org/WMO_Region_4_North_and_Central_America/CAN_Canada/AB_Alberta/CAN_AB_Smoky.Lake.AgDM.712740_TMYx.2007-2021.zip</v>
      </c>
    </row>
    <row r="990" spans="1:10" x14ac:dyDescent="0.25">
      <c r="A990" t="s">
        <v>6</v>
      </c>
      <c r="B990" t="s">
        <v>17</v>
      </c>
      <c r="C990" t="s">
        <v>514</v>
      </c>
      <c r="D990">
        <v>712740</v>
      </c>
      <c r="E990" t="s">
        <v>10</v>
      </c>
      <c r="F990">
        <v>54.265000000000001</v>
      </c>
      <c r="G990">
        <v>-112.504</v>
      </c>
      <c r="H990">
        <v>-7</v>
      </c>
      <c r="I990">
        <v>680</v>
      </c>
      <c r="J990" t="str">
        <f>HYPERLINK("https://climate.onebuilding.org/WMO_Region_4_North_and_Central_America/CAN_Canada/AB_Alberta/CAN_AB_Smoky.Lake.AgDM.712740_TMYx.2009-2023.zip")</f>
        <v>https://climate.onebuilding.org/WMO_Region_4_North_and_Central_America/CAN_Canada/AB_Alberta/CAN_AB_Smoky.Lake.AgDM.712740_TMYx.2009-2023.zip</v>
      </c>
    </row>
    <row r="991" spans="1:10" x14ac:dyDescent="0.25">
      <c r="A991" t="s">
        <v>6</v>
      </c>
      <c r="B991" t="s">
        <v>17</v>
      </c>
      <c r="C991" t="s">
        <v>514</v>
      </c>
      <c r="D991">
        <v>712740</v>
      </c>
      <c r="E991" t="s">
        <v>10</v>
      </c>
      <c r="F991">
        <v>54.265000000000001</v>
      </c>
      <c r="G991">
        <v>-112.504</v>
      </c>
      <c r="H991">
        <v>-7</v>
      </c>
      <c r="I991">
        <v>680</v>
      </c>
      <c r="J991" t="str">
        <f>HYPERLINK("https://climate.onebuilding.org/WMO_Region_4_North_and_Central_America/CAN_Canada/AB_Alberta/CAN_AB_Smoky.Lake.AgDM.712740_TMYx.zip")</f>
        <v>https://climate.onebuilding.org/WMO_Region_4_North_and_Central_America/CAN_Canada/AB_Alberta/CAN_AB_Smoky.Lake.AgDM.712740_TMYx.zip</v>
      </c>
    </row>
    <row r="992" spans="1:10" x14ac:dyDescent="0.25">
      <c r="A992" t="s">
        <v>6</v>
      </c>
      <c r="B992" t="s">
        <v>17</v>
      </c>
      <c r="C992" t="s">
        <v>516</v>
      </c>
      <c r="D992">
        <v>712750</v>
      </c>
      <c r="E992" t="s">
        <v>517</v>
      </c>
      <c r="F992">
        <v>54</v>
      </c>
      <c r="G992">
        <v>-111.267</v>
      </c>
      <c r="H992">
        <v>-7</v>
      </c>
      <c r="I992">
        <v>649</v>
      </c>
      <c r="J992" t="str">
        <f>HYPERLINK("https://climate.onebuilding.org/WMO_Region_4_North_and_Central_America/CAN_Canada/AB_Alberta/CAN_AB_St.Paul.AgDM.712750_TMYx.2004-2018.zip")</f>
        <v>https://climate.onebuilding.org/WMO_Region_4_North_and_Central_America/CAN_Canada/AB_Alberta/CAN_AB_St.Paul.AgDM.712750_TMYx.2004-2018.zip</v>
      </c>
    </row>
    <row r="993" spans="1:10" x14ac:dyDescent="0.25">
      <c r="A993" t="s">
        <v>6</v>
      </c>
      <c r="B993" t="s">
        <v>17</v>
      </c>
      <c r="C993" t="s">
        <v>516</v>
      </c>
      <c r="D993">
        <v>712750</v>
      </c>
      <c r="E993" t="s">
        <v>10</v>
      </c>
      <c r="F993">
        <v>54.011099999999999</v>
      </c>
      <c r="G993">
        <v>-111.267</v>
      </c>
      <c r="H993">
        <v>-7</v>
      </c>
      <c r="I993">
        <v>649</v>
      </c>
      <c r="J993" t="str">
        <f>HYPERLINK("https://climate.onebuilding.org/WMO_Region_4_North_and_Central_America/CAN_Canada/AB_Alberta/CAN_AB_St.Paul.AgDM.712750_TMYx.2007-2021.zip")</f>
        <v>https://climate.onebuilding.org/WMO_Region_4_North_and_Central_America/CAN_Canada/AB_Alberta/CAN_AB_St.Paul.AgDM.712750_TMYx.2007-2021.zip</v>
      </c>
    </row>
    <row r="994" spans="1:10" x14ac:dyDescent="0.25">
      <c r="A994" t="s">
        <v>6</v>
      </c>
      <c r="B994" t="s">
        <v>17</v>
      </c>
      <c r="C994" t="s">
        <v>516</v>
      </c>
      <c r="D994">
        <v>712750</v>
      </c>
      <c r="E994" t="s">
        <v>10</v>
      </c>
      <c r="F994">
        <v>54.011099999999999</v>
      </c>
      <c r="G994">
        <v>-111.267</v>
      </c>
      <c r="H994">
        <v>-7</v>
      </c>
      <c r="I994">
        <v>649</v>
      </c>
      <c r="J994" t="str">
        <f>HYPERLINK("https://climate.onebuilding.org/WMO_Region_4_North_and_Central_America/CAN_Canada/AB_Alberta/CAN_AB_St.Paul.AgDM.712750_TMYx.2009-2023.zip")</f>
        <v>https://climate.onebuilding.org/WMO_Region_4_North_and_Central_America/CAN_Canada/AB_Alberta/CAN_AB_St.Paul.AgDM.712750_TMYx.2009-2023.zip</v>
      </c>
    </row>
    <row r="995" spans="1:10" x14ac:dyDescent="0.25">
      <c r="A995" t="s">
        <v>6</v>
      </c>
      <c r="B995" t="s">
        <v>17</v>
      </c>
      <c r="C995" t="s">
        <v>516</v>
      </c>
      <c r="D995">
        <v>712750</v>
      </c>
      <c r="E995" t="s">
        <v>10</v>
      </c>
      <c r="F995">
        <v>54.011099999999999</v>
      </c>
      <c r="G995">
        <v>-111.267</v>
      </c>
      <c r="H995">
        <v>-7</v>
      </c>
      <c r="I995">
        <v>649</v>
      </c>
      <c r="J995" t="str">
        <f>HYPERLINK("https://climate.onebuilding.org/WMO_Region_4_North_and_Central_America/CAN_Canada/AB_Alberta/CAN_AB_St.Paul.AgDM.712750_TMYx.zip")</f>
        <v>https://climate.onebuilding.org/WMO_Region_4_North_and_Central_America/CAN_Canada/AB_Alberta/CAN_AB_St.Paul.AgDM.712750_TMYx.zip</v>
      </c>
    </row>
    <row r="996" spans="1:10" x14ac:dyDescent="0.25">
      <c r="A996" t="s">
        <v>6</v>
      </c>
      <c r="B996" t="s">
        <v>17</v>
      </c>
      <c r="C996" t="s">
        <v>518</v>
      </c>
      <c r="D996">
        <v>712760</v>
      </c>
      <c r="E996" t="s">
        <v>519</v>
      </c>
      <c r="F996">
        <v>53.625300000000003</v>
      </c>
      <c r="G996">
        <v>-111.67829999999999</v>
      </c>
      <c r="H996">
        <v>-7</v>
      </c>
      <c r="I996">
        <v>678</v>
      </c>
      <c r="J996" t="str">
        <f>HYPERLINK("https://climate.onebuilding.org/WMO_Region_4_North_and_Central_America/CAN_Canada/AB_Alberta/CAN_AB_Two.Hills.AgDM.712760_TMYx.2004-2018.zip")</f>
        <v>https://climate.onebuilding.org/WMO_Region_4_North_and_Central_America/CAN_Canada/AB_Alberta/CAN_AB_Two.Hills.AgDM.712760_TMYx.2004-2018.zip</v>
      </c>
    </row>
    <row r="997" spans="1:10" x14ac:dyDescent="0.25">
      <c r="A997" t="s">
        <v>6</v>
      </c>
      <c r="B997" t="s">
        <v>17</v>
      </c>
      <c r="C997" t="s">
        <v>518</v>
      </c>
      <c r="D997">
        <v>712760</v>
      </c>
      <c r="E997" t="s">
        <v>10</v>
      </c>
      <c r="F997">
        <v>53.625300000000003</v>
      </c>
      <c r="G997">
        <v>-111.67829999999999</v>
      </c>
      <c r="H997">
        <v>-7</v>
      </c>
      <c r="I997">
        <v>678</v>
      </c>
      <c r="J997" t="str">
        <f>HYPERLINK("https://climate.onebuilding.org/WMO_Region_4_North_and_Central_America/CAN_Canada/AB_Alberta/CAN_AB_Two.Hills.AgDM.712760_TMYx.2007-2021.zip")</f>
        <v>https://climate.onebuilding.org/WMO_Region_4_North_and_Central_America/CAN_Canada/AB_Alberta/CAN_AB_Two.Hills.AgDM.712760_TMYx.2007-2021.zip</v>
      </c>
    </row>
    <row r="998" spans="1:10" x14ac:dyDescent="0.25">
      <c r="A998" t="s">
        <v>6</v>
      </c>
      <c r="B998" t="s">
        <v>17</v>
      </c>
      <c r="C998" t="s">
        <v>518</v>
      </c>
      <c r="D998">
        <v>712760</v>
      </c>
      <c r="E998" t="s">
        <v>10</v>
      </c>
      <c r="F998">
        <v>53.625300000000003</v>
      </c>
      <c r="G998">
        <v>-111.67829999999999</v>
      </c>
      <c r="H998">
        <v>-7</v>
      </c>
      <c r="I998">
        <v>678</v>
      </c>
      <c r="J998" t="str">
        <f>HYPERLINK("https://climate.onebuilding.org/WMO_Region_4_North_and_Central_America/CAN_Canada/AB_Alberta/CAN_AB_Two.Hills.AgDM.712760_TMYx.2009-2023.zip")</f>
        <v>https://climate.onebuilding.org/WMO_Region_4_North_and_Central_America/CAN_Canada/AB_Alberta/CAN_AB_Two.Hills.AgDM.712760_TMYx.2009-2023.zip</v>
      </c>
    </row>
    <row r="999" spans="1:10" x14ac:dyDescent="0.25">
      <c r="A999" t="s">
        <v>6</v>
      </c>
      <c r="B999" t="s">
        <v>17</v>
      </c>
      <c r="C999" t="s">
        <v>518</v>
      </c>
      <c r="D999">
        <v>712760</v>
      </c>
      <c r="E999" t="s">
        <v>10</v>
      </c>
      <c r="F999">
        <v>53.625300000000003</v>
      </c>
      <c r="G999">
        <v>-111.67829999999999</v>
      </c>
      <c r="H999">
        <v>-7</v>
      </c>
      <c r="I999">
        <v>678</v>
      </c>
      <c r="J999" t="str">
        <f>HYPERLINK("https://climate.onebuilding.org/WMO_Region_4_North_and_Central_America/CAN_Canada/AB_Alberta/CAN_AB_Two.Hills.AgDM.712760_TMYx.zip")</f>
        <v>https://climate.onebuilding.org/WMO_Region_4_North_and_Central_America/CAN_Canada/AB_Alberta/CAN_AB_Two.Hills.AgDM.712760_TMYx.zip</v>
      </c>
    </row>
    <row r="1000" spans="1:10" x14ac:dyDescent="0.25">
      <c r="A1000" t="s">
        <v>6</v>
      </c>
      <c r="B1000" t="s">
        <v>17</v>
      </c>
      <c r="C1000" t="s">
        <v>520</v>
      </c>
      <c r="D1000">
        <v>712770</v>
      </c>
      <c r="E1000" t="s">
        <v>521</v>
      </c>
      <c r="F1000">
        <v>55.082999999999998</v>
      </c>
      <c r="G1000">
        <v>-117.18300000000001</v>
      </c>
      <c r="H1000">
        <v>-7</v>
      </c>
      <c r="I1000">
        <v>698</v>
      </c>
      <c r="J1000" t="str">
        <f>HYPERLINK("https://climate.onebuilding.org/WMO_Region_4_North_and_Central_America/CAN_Canada/AB_Alberta/CAN_AB_Valleyview.AgDM.712770_TMYx.2004-2018.zip")</f>
        <v>https://climate.onebuilding.org/WMO_Region_4_North_and_Central_America/CAN_Canada/AB_Alberta/CAN_AB_Valleyview.AgDM.712770_TMYx.2004-2018.zip</v>
      </c>
    </row>
    <row r="1001" spans="1:10" x14ac:dyDescent="0.25">
      <c r="A1001" t="s">
        <v>6</v>
      </c>
      <c r="B1001" t="s">
        <v>17</v>
      </c>
      <c r="C1001" t="s">
        <v>520</v>
      </c>
      <c r="D1001">
        <v>712770</v>
      </c>
      <c r="E1001" t="s">
        <v>10</v>
      </c>
      <c r="F1001">
        <v>55.098100000000002</v>
      </c>
      <c r="G1001">
        <v>-117.1992</v>
      </c>
      <c r="H1001">
        <v>-7</v>
      </c>
      <c r="I1001">
        <v>698</v>
      </c>
      <c r="J1001" t="str">
        <f>HYPERLINK("https://climate.onebuilding.org/WMO_Region_4_North_and_Central_America/CAN_Canada/AB_Alberta/CAN_AB_Valleyview.AgDM.712770_TMYx.2007-2021.zip")</f>
        <v>https://climate.onebuilding.org/WMO_Region_4_North_and_Central_America/CAN_Canada/AB_Alberta/CAN_AB_Valleyview.AgDM.712770_TMYx.2007-2021.zip</v>
      </c>
    </row>
    <row r="1002" spans="1:10" x14ac:dyDescent="0.25">
      <c r="A1002" t="s">
        <v>6</v>
      </c>
      <c r="B1002" t="s">
        <v>17</v>
      </c>
      <c r="C1002" t="s">
        <v>520</v>
      </c>
      <c r="D1002">
        <v>712770</v>
      </c>
      <c r="E1002" t="s">
        <v>10</v>
      </c>
      <c r="F1002">
        <v>55.098100000000002</v>
      </c>
      <c r="G1002">
        <v>-117.1992</v>
      </c>
      <c r="H1002">
        <v>-7</v>
      </c>
      <c r="I1002">
        <v>698</v>
      </c>
      <c r="J1002" t="str">
        <f>HYPERLINK("https://climate.onebuilding.org/WMO_Region_4_North_and_Central_America/CAN_Canada/AB_Alberta/CAN_AB_Valleyview.AgDM.712770_TMYx.2009-2023.zip")</f>
        <v>https://climate.onebuilding.org/WMO_Region_4_North_and_Central_America/CAN_Canada/AB_Alberta/CAN_AB_Valleyview.AgDM.712770_TMYx.2009-2023.zip</v>
      </c>
    </row>
    <row r="1003" spans="1:10" x14ac:dyDescent="0.25">
      <c r="A1003" t="s">
        <v>6</v>
      </c>
      <c r="B1003" t="s">
        <v>17</v>
      </c>
      <c r="C1003" t="s">
        <v>520</v>
      </c>
      <c r="D1003">
        <v>712770</v>
      </c>
      <c r="E1003" t="s">
        <v>10</v>
      </c>
      <c r="F1003">
        <v>55.098100000000002</v>
      </c>
      <c r="G1003">
        <v>-117.1992</v>
      </c>
      <c r="H1003">
        <v>-7</v>
      </c>
      <c r="I1003">
        <v>698</v>
      </c>
      <c r="J1003" t="str">
        <f>HYPERLINK("https://climate.onebuilding.org/WMO_Region_4_North_and_Central_America/CAN_Canada/AB_Alberta/CAN_AB_Valleyview.AgDM.712770_TMYx.zip")</f>
        <v>https://climate.onebuilding.org/WMO_Region_4_North_and_Central_America/CAN_Canada/AB_Alberta/CAN_AB_Valleyview.AgDM.712770_TMYx.zip</v>
      </c>
    </row>
    <row r="1004" spans="1:10" x14ac:dyDescent="0.25">
      <c r="A1004" t="s">
        <v>6</v>
      </c>
      <c r="B1004" t="s">
        <v>17</v>
      </c>
      <c r="C1004" t="s">
        <v>522</v>
      </c>
      <c r="D1004">
        <v>712780</v>
      </c>
      <c r="E1004" t="s">
        <v>523</v>
      </c>
      <c r="F1004">
        <v>53.332999999999998</v>
      </c>
      <c r="G1004">
        <v>-110.867</v>
      </c>
      <c r="H1004">
        <v>-7</v>
      </c>
      <c r="I1004">
        <v>623</v>
      </c>
      <c r="J1004" t="str">
        <f>HYPERLINK("https://climate.onebuilding.org/WMO_Region_4_North_and_Central_America/CAN_Canada/AB_Alberta/CAN_AB_Vermilion.AgDM.712780_TMYx.2004-2018.zip")</f>
        <v>https://climate.onebuilding.org/WMO_Region_4_North_and_Central_America/CAN_Canada/AB_Alberta/CAN_AB_Vermilion.AgDM.712780_TMYx.2004-2018.zip</v>
      </c>
    </row>
    <row r="1005" spans="1:10" x14ac:dyDescent="0.25">
      <c r="A1005" t="s">
        <v>6</v>
      </c>
      <c r="B1005" t="s">
        <v>17</v>
      </c>
      <c r="C1005" t="s">
        <v>522</v>
      </c>
      <c r="D1005">
        <v>712780</v>
      </c>
      <c r="E1005" t="s">
        <v>10</v>
      </c>
      <c r="F1005">
        <v>53.343899999999998</v>
      </c>
      <c r="G1005">
        <v>-110.8819</v>
      </c>
      <c r="H1005">
        <v>-7</v>
      </c>
      <c r="I1005">
        <v>623</v>
      </c>
      <c r="J1005" t="str">
        <f>HYPERLINK("https://climate.onebuilding.org/WMO_Region_4_North_and_Central_America/CAN_Canada/AB_Alberta/CAN_AB_Vermilion.AgDM.712780_TMYx.2007-2021.zip")</f>
        <v>https://climate.onebuilding.org/WMO_Region_4_North_and_Central_America/CAN_Canada/AB_Alberta/CAN_AB_Vermilion.AgDM.712780_TMYx.2007-2021.zip</v>
      </c>
    </row>
    <row r="1006" spans="1:10" x14ac:dyDescent="0.25">
      <c r="A1006" t="s">
        <v>6</v>
      </c>
      <c r="B1006" t="s">
        <v>17</v>
      </c>
      <c r="C1006" t="s">
        <v>522</v>
      </c>
      <c r="D1006">
        <v>712780</v>
      </c>
      <c r="E1006" t="s">
        <v>10</v>
      </c>
      <c r="F1006">
        <v>53.343899999999998</v>
      </c>
      <c r="G1006">
        <v>-110.8819</v>
      </c>
      <c r="H1006">
        <v>-7</v>
      </c>
      <c r="I1006">
        <v>623</v>
      </c>
      <c r="J1006" t="str">
        <f>HYPERLINK("https://climate.onebuilding.org/WMO_Region_4_North_and_Central_America/CAN_Canada/AB_Alberta/CAN_AB_Vermilion.AgDM.712780_TMYx.2009-2023.zip")</f>
        <v>https://climate.onebuilding.org/WMO_Region_4_North_and_Central_America/CAN_Canada/AB_Alberta/CAN_AB_Vermilion.AgDM.712780_TMYx.2009-2023.zip</v>
      </c>
    </row>
    <row r="1007" spans="1:10" x14ac:dyDescent="0.25">
      <c r="A1007" t="s">
        <v>6</v>
      </c>
      <c r="B1007" t="s">
        <v>17</v>
      </c>
      <c r="C1007" t="s">
        <v>522</v>
      </c>
      <c r="D1007">
        <v>712780</v>
      </c>
      <c r="E1007" t="s">
        <v>10</v>
      </c>
      <c r="F1007">
        <v>53.343899999999998</v>
      </c>
      <c r="G1007">
        <v>-110.8819</v>
      </c>
      <c r="H1007">
        <v>-7</v>
      </c>
      <c r="I1007">
        <v>623</v>
      </c>
      <c r="J1007" t="str">
        <f>HYPERLINK("https://climate.onebuilding.org/WMO_Region_4_North_and_Central_America/CAN_Canada/AB_Alberta/CAN_AB_Vermilion.AgDM.712780_TMYx.zip")</f>
        <v>https://climate.onebuilding.org/WMO_Region_4_North_and_Central_America/CAN_Canada/AB_Alberta/CAN_AB_Vermilion.AgDM.712780_TMYx.zip</v>
      </c>
    </row>
    <row r="1008" spans="1:10" x14ac:dyDescent="0.25">
      <c r="A1008" t="s">
        <v>6</v>
      </c>
      <c r="B1008" t="s">
        <v>14</v>
      </c>
      <c r="C1008" t="s">
        <v>524</v>
      </c>
      <c r="D1008">
        <v>712790</v>
      </c>
      <c r="E1008" t="s">
        <v>10</v>
      </c>
      <c r="F1008">
        <v>50.216670000000001</v>
      </c>
      <c r="G1008">
        <v>-66.25</v>
      </c>
      <c r="H1008">
        <v>-5</v>
      </c>
      <c r="I1008">
        <v>52.6</v>
      </c>
      <c r="J1008" t="str">
        <f>HYPERLINK("https://climate.onebuilding.org/WMO_Region_4_North_and_Central_America/CAN_Canada/QC_Quebec/CAN_QC_Sept-Iles.CS.712790_TMYx.2007-2021.zip")</f>
        <v>https://climate.onebuilding.org/WMO_Region_4_North_and_Central_America/CAN_Canada/QC_Quebec/CAN_QC_Sept-Iles.CS.712790_TMYx.2007-2021.zip</v>
      </c>
    </row>
    <row r="1009" spans="1:10" x14ac:dyDescent="0.25">
      <c r="A1009" t="s">
        <v>6</v>
      </c>
      <c r="B1009" t="s">
        <v>14</v>
      </c>
      <c r="C1009" t="s">
        <v>524</v>
      </c>
      <c r="D1009">
        <v>712790</v>
      </c>
      <c r="E1009" t="s">
        <v>10</v>
      </c>
      <c r="F1009">
        <v>50.216670000000001</v>
      </c>
      <c r="G1009">
        <v>-66.25</v>
      </c>
      <c r="H1009">
        <v>-5</v>
      </c>
      <c r="I1009">
        <v>52.6</v>
      </c>
      <c r="J1009" t="str">
        <f>HYPERLINK("https://climate.onebuilding.org/WMO_Region_4_North_and_Central_America/CAN_Canada/QC_Quebec/CAN_QC_Sept-Iles.CS.712790_TMYx.2009-2023.zip")</f>
        <v>https://climate.onebuilding.org/WMO_Region_4_North_and_Central_America/CAN_Canada/QC_Quebec/CAN_QC_Sept-Iles.CS.712790_TMYx.2009-2023.zip</v>
      </c>
    </row>
    <row r="1010" spans="1:10" x14ac:dyDescent="0.25">
      <c r="A1010" t="s">
        <v>6</v>
      </c>
      <c r="B1010" t="s">
        <v>14</v>
      </c>
      <c r="C1010" t="s">
        <v>524</v>
      </c>
      <c r="D1010">
        <v>712790</v>
      </c>
      <c r="E1010" t="s">
        <v>10</v>
      </c>
      <c r="F1010">
        <v>50.216670000000001</v>
      </c>
      <c r="G1010">
        <v>-66.25</v>
      </c>
      <c r="H1010">
        <v>-5</v>
      </c>
      <c r="I1010">
        <v>52.6</v>
      </c>
      <c r="J1010" t="str">
        <f>HYPERLINK("https://climate.onebuilding.org/WMO_Region_4_North_and_Central_America/CAN_Canada/QC_Quebec/CAN_QC_Sept-Iles.CS.712790_TMYx.zip")</f>
        <v>https://climate.onebuilding.org/WMO_Region_4_North_and_Central_America/CAN_Canada/QC_Quebec/CAN_QC_Sept-Iles.CS.712790_TMYx.zip</v>
      </c>
    </row>
    <row r="1011" spans="1:10" x14ac:dyDescent="0.25">
      <c r="A1011" t="s">
        <v>6</v>
      </c>
      <c r="B1011" t="s">
        <v>130</v>
      </c>
      <c r="C1011" t="s">
        <v>525</v>
      </c>
      <c r="D1011">
        <v>712810</v>
      </c>
      <c r="E1011" t="s">
        <v>526</v>
      </c>
      <c r="F1011">
        <v>44.416699999999999</v>
      </c>
      <c r="G1011">
        <v>-75.849999999999994</v>
      </c>
      <c r="H1011">
        <v>-5</v>
      </c>
      <c r="I1011">
        <v>82</v>
      </c>
      <c r="J1011" t="str">
        <f>HYPERLINK("https://climate.onebuilding.org/WMO_Region_4_North_and_Central_America/CAN_Canada/ON_Ontario/CAN_ON_Grenadier.Island.712810_TMYx.2004-2018.zip")</f>
        <v>https://climate.onebuilding.org/WMO_Region_4_North_and_Central_America/CAN_Canada/ON_Ontario/CAN_ON_Grenadier.Island.712810_TMYx.2004-2018.zip</v>
      </c>
    </row>
    <row r="1012" spans="1:10" x14ac:dyDescent="0.25">
      <c r="A1012" t="s">
        <v>6</v>
      </c>
      <c r="B1012" t="s">
        <v>130</v>
      </c>
      <c r="C1012" t="s">
        <v>525</v>
      </c>
      <c r="D1012">
        <v>712810</v>
      </c>
      <c r="E1012" t="s">
        <v>10</v>
      </c>
      <c r="F1012">
        <v>44.416699999999999</v>
      </c>
      <c r="G1012">
        <v>-75.849999999999994</v>
      </c>
      <c r="H1012">
        <v>-5</v>
      </c>
      <c r="I1012">
        <v>82</v>
      </c>
      <c r="J1012" t="str">
        <f>HYPERLINK("https://climate.onebuilding.org/WMO_Region_4_North_and_Central_America/CAN_Canada/ON_Ontario/CAN_ON_Grenadier.Island.712810_TMYx.2007-2021.zip")</f>
        <v>https://climate.onebuilding.org/WMO_Region_4_North_and_Central_America/CAN_Canada/ON_Ontario/CAN_ON_Grenadier.Island.712810_TMYx.2007-2021.zip</v>
      </c>
    </row>
    <row r="1013" spans="1:10" x14ac:dyDescent="0.25">
      <c r="A1013" t="s">
        <v>6</v>
      </c>
      <c r="B1013" t="s">
        <v>130</v>
      </c>
      <c r="C1013" t="s">
        <v>525</v>
      </c>
      <c r="D1013">
        <v>712810</v>
      </c>
      <c r="E1013" t="s">
        <v>10</v>
      </c>
      <c r="F1013">
        <v>44.416699999999999</v>
      </c>
      <c r="G1013">
        <v>-75.849999999999994</v>
      </c>
      <c r="H1013">
        <v>-5</v>
      </c>
      <c r="I1013">
        <v>82</v>
      </c>
      <c r="J1013" t="str">
        <f>HYPERLINK("https://climate.onebuilding.org/WMO_Region_4_North_and_Central_America/CAN_Canada/ON_Ontario/CAN_ON_Grenadier.Island.712810_TMYx.2009-2023.zip")</f>
        <v>https://climate.onebuilding.org/WMO_Region_4_North_and_Central_America/CAN_Canada/ON_Ontario/CAN_ON_Grenadier.Island.712810_TMYx.2009-2023.zip</v>
      </c>
    </row>
    <row r="1014" spans="1:10" x14ac:dyDescent="0.25">
      <c r="A1014" t="s">
        <v>6</v>
      </c>
      <c r="B1014" t="s">
        <v>130</v>
      </c>
      <c r="C1014" t="s">
        <v>525</v>
      </c>
      <c r="D1014">
        <v>712810</v>
      </c>
      <c r="E1014" t="s">
        <v>10</v>
      </c>
      <c r="F1014">
        <v>44.416699999999999</v>
      </c>
      <c r="G1014">
        <v>-75.849999999999994</v>
      </c>
      <c r="H1014">
        <v>-5</v>
      </c>
      <c r="I1014">
        <v>82</v>
      </c>
      <c r="J1014" t="str">
        <f>HYPERLINK("https://climate.onebuilding.org/WMO_Region_4_North_and_Central_America/CAN_Canada/ON_Ontario/CAN_ON_Grenadier.Island.712810_TMYx.zip")</f>
        <v>https://climate.onebuilding.org/WMO_Region_4_North_and_Central_America/CAN_Canada/ON_Ontario/CAN_ON_Grenadier.Island.712810_TMYx.zip</v>
      </c>
    </row>
    <row r="1015" spans="1:10" x14ac:dyDescent="0.25">
      <c r="A1015" t="s">
        <v>6</v>
      </c>
      <c r="B1015" t="s">
        <v>130</v>
      </c>
      <c r="C1015" t="s">
        <v>527</v>
      </c>
      <c r="D1015">
        <v>712820</v>
      </c>
      <c r="E1015" t="s">
        <v>528</v>
      </c>
      <c r="F1015">
        <v>44.533000000000001</v>
      </c>
      <c r="G1015">
        <v>-79.216999999999999</v>
      </c>
      <c r="H1015">
        <v>-5</v>
      </c>
      <c r="I1015">
        <v>221</v>
      </c>
      <c r="J1015" t="str">
        <f>HYPERLINK("https://climate.onebuilding.org/WMO_Region_4_North_and_Central_America/CAN_Canada/ON_Ontario/CAN_ON_Lagoon.City.712820_TMYx.2004-2018.zip")</f>
        <v>https://climate.onebuilding.org/WMO_Region_4_North_and_Central_America/CAN_Canada/ON_Ontario/CAN_ON_Lagoon.City.712820_TMYx.2004-2018.zip</v>
      </c>
    </row>
    <row r="1016" spans="1:10" x14ac:dyDescent="0.25">
      <c r="A1016" t="s">
        <v>6</v>
      </c>
      <c r="B1016" t="s">
        <v>130</v>
      </c>
      <c r="C1016" t="s">
        <v>527</v>
      </c>
      <c r="D1016">
        <v>712820</v>
      </c>
      <c r="E1016" t="s">
        <v>10</v>
      </c>
      <c r="F1016">
        <v>44.548050000000003</v>
      </c>
      <c r="G1016">
        <v>-79.221119999999999</v>
      </c>
      <c r="H1016">
        <v>-5</v>
      </c>
      <c r="I1016">
        <v>221</v>
      </c>
      <c r="J1016" t="str">
        <f>HYPERLINK("https://climate.onebuilding.org/WMO_Region_4_North_and_Central_America/CAN_Canada/ON_Ontario/CAN_ON_Lagoon.City.712820_TMYx.2007-2021.zip")</f>
        <v>https://climate.onebuilding.org/WMO_Region_4_North_and_Central_America/CAN_Canada/ON_Ontario/CAN_ON_Lagoon.City.712820_TMYx.2007-2021.zip</v>
      </c>
    </row>
    <row r="1017" spans="1:10" x14ac:dyDescent="0.25">
      <c r="A1017" t="s">
        <v>6</v>
      </c>
      <c r="B1017" t="s">
        <v>130</v>
      </c>
      <c r="C1017" t="s">
        <v>527</v>
      </c>
      <c r="D1017">
        <v>712820</v>
      </c>
      <c r="E1017" t="s">
        <v>10</v>
      </c>
      <c r="F1017">
        <v>44.548050000000003</v>
      </c>
      <c r="G1017">
        <v>-79.221119999999999</v>
      </c>
      <c r="H1017">
        <v>-5</v>
      </c>
      <c r="I1017">
        <v>221</v>
      </c>
      <c r="J1017" t="str">
        <f>HYPERLINK("https://climate.onebuilding.org/WMO_Region_4_North_and_Central_America/CAN_Canada/ON_Ontario/CAN_ON_Lagoon.City.712820_TMYx.2009-2023.zip")</f>
        <v>https://climate.onebuilding.org/WMO_Region_4_North_and_Central_America/CAN_Canada/ON_Ontario/CAN_ON_Lagoon.City.712820_TMYx.2009-2023.zip</v>
      </c>
    </row>
    <row r="1018" spans="1:10" x14ac:dyDescent="0.25">
      <c r="A1018" t="s">
        <v>6</v>
      </c>
      <c r="B1018" t="s">
        <v>130</v>
      </c>
      <c r="C1018" t="s">
        <v>527</v>
      </c>
      <c r="D1018">
        <v>712820</v>
      </c>
      <c r="E1018" t="s">
        <v>10</v>
      </c>
      <c r="F1018">
        <v>44.548050000000003</v>
      </c>
      <c r="G1018">
        <v>-79.221119999999999</v>
      </c>
      <c r="H1018">
        <v>-5</v>
      </c>
      <c r="I1018">
        <v>221</v>
      </c>
      <c r="J1018" t="str">
        <f>HYPERLINK("https://climate.onebuilding.org/WMO_Region_4_North_and_Central_America/CAN_Canada/ON_Ontario/CAN_ON_Lagoon.City.712820_TMYx.zip")</f>
        <v>https://climate.onebuilding.org/WMO_Region_4_North_and_Central_America/CAN_Canada/ON_Ontario/CAN_ON_Lagoon.City.712820_TMYx.zip</v>
      </c>
    </row>
    <row r="1019" spans="1:10" x14ac:dyDescent="0.25">
      <c r="A1019" t="s">
        <v>6</v>
      </c>
      <c r="B1019" t="s">
        <v>17</v>
      </c>
      <c r="C1019" t="s">
        <v>529</v>
      </c>
      <c r="D1019">
        <v>712830</v>
      </c>
      <c r="E1019" t="s">
        <v>530</v>
      </c>
      <c r="F1019">
        <v>56.117800000000003</v>
      </c>
      <c r="G1019">
        <v>-117.88639999999999</v>
      </c>
      <c r="H1019">
        <v>-7</v>
      </c>
      <c r="I1019">
        <v>748</v>
      </c>
      <c r="J1019" t="str">
        <f>HYPERLINK("https://climate.onebuilding.org/WMO_Region_4_North_and_Central_America/CAN_Canada/AB_Alberta/CAN_AB_Brownvale.AgCM.712830_TMYx.2004-2018.zip")</f>
        <v>https://climate.onebuilding.org/WMO_Region_4_North_and_Central_America/CAN_Canada/AB_Alberta/CAN_AB_Brownvale.AgCM.712830_TMYx.2004-2018.zip</v>
      </c>
    </row>
    <row r="1020" spans="1:10" x14ac:dyDescent="0.25">
      <c r="A1020" t="s">
        <v>6</v>
      </c>
      <c r="B1020" t="s">
        <v>17</v>
      </c>
      <c r="C1020" t="s">
        <v>529</v>
      </c>
      <c r="D1020">
        <v>712830</v>
      </c>
      <c r="E1020" t="s">
        <v>10</v>
      </c>
      <c r="F1020">
        <v>56.117800000000003</v>
      </c>
      <c r="G1020">
        <v>-117.88639999999999</v>
      </c>
      <c r="H1020">
        <v>-7</v>
      </c>
      <c r="I1020">
        <v>748</v>
      </c>
      <c r="J1020" t="str">
        <f>HYPERLINK("https://climate.onebuilding.org/WMO_Region_4_North_and_Central_America/CAN_Canada/AB_Alberta/CAN_AB_Brownvale.AgCM.712830_TMYx.2007-2021.zip")</f>
        <v>https://climate.onebuilding.org/WMO_Region_4_North_and_Central_America/CAN_Canada/AB_Alberta/CAN_AB_Brownvale.AgCM.712830_TMYx.2007-2021.zip</v>
      </c>
    </row>
    <row r="1021" spans="1:10" x14ac:dyDescent="0.25">
      <c r="A1021" t="s">
        <v>6</v>
      </c>
      <c r="B1021" t="s">
        <v>17</v>
      </c>
      <c r="C1021" t="s">
        <v>529</v>
      </c>
      <c r="D1021">
        <v>712830</v>
      </c>
      <c r="E1021" t="s">
        <v>10</v>
      </c>
      <c r="F1021">
        <v>56.117800000000003</v>
      </c>
      <c r="G1021">
        <v>-117.88639999999999</v>
      </c>
      <c r="H1021">
        <v>-7</v>
      </c>
      <c r="I1021">
        <v>748</v>
      </c>
      <c r="J1021" t="str">
        <f>HYPERLINK("https://climate.onebuilding.org/WMO_Region_4_North_and_Central_America/CAN_Canada/AB_Alberta/CAN_AB_Brownvale.AgCM.712830_TMYx.2009-2023.zip")</f>
        <v>https://climate.onebuilding.org/WMO_Region_4_North_and_Central_America/CAN_Canada/AB_Alberta/CAN_AB_Brownvale.AgCM.712830_TMYx.2009-2023.zip</v>
      </c>
    </row>
    <row r="1022" spans="1:10" x14ac:dyDescent="0.25">
      <c r="A1022" t="s">
        <v>6</v>
      </c>
      <c r="B1022" t="s">
        <v>17</v>
      </c>
      <c r="C1022" t="s">
        <v>529</v>
      </c>
      <c r="D1022">
        <v>712830</v>
      </c>
      <c r="E1022" t="s">
        <v>10</v>
      </c>
      <c r="F1022">
        <v>56.117800000000003</v>
      </c>
      <c r="G1022">
        <v>-117.88639999999999</v>
      </c>
      <c r="H1022">
        <v>-7</v>
      </c>
      <c r="I1022">
        <v>748</v>
      </c>
      <c r="J1022" t="str">
        <f>HYPERLINK("https://climate.onebuilding.org/WMO_Region_4_North_and_Central_America/CAN_Canada/AB_Alberta/CAN_AB_Brownvale.AgCM.712830_TMYx.zip")</f>
        <v>https://climate.onebuilding.org/WMO_Region_4_North_and_Central_America/CAN_Canada/AB_Alberta/CAN_AB_Brownvale.AgCM.712830_TMYx.zip</v>
      </c>
    </row>
    <row r="1023" spans="1:10" x14ac:dyDescent="0.25">
      <c r="A1023" t="s">
        <v>6</v>
      </c>
      <c r="B1023" t="s">
        <v>17</v>
      </c>
      <c r="C1023" t="s">
        <v>531</v>
      </c>
      <c r="D1023">
        <v>712840</v>
      </c>
      <c r="E1023" t="s">
        <v>532</v>
      </c>
      <c r="F1023">
        <v>53.917000000000002</v>
      </c>
      <c r="G1023">
        <v>-113.917</v>
      </c>
      <c r="H1023">
        <v>-7</v>
      </c>
      <c r="I1023">
        <v>714</v>
      </c>
      <c r="J1023" t="str">
        <f>HYPERLINK("https://climate.onebuilding.org/WMO_Region_4_North_and_Central_America/CAN_Canada/AB_Alberta/CAN_AB_Busby.AgCM.712840_TMYx.2004-2018.zip")</f>
        <v>https://climate.onebuilding.org/WMO_Region_4_North_and_Central_America/CAN_Canada/AB_Alberta/CAN_AB_Busby.AgCM.712840_TMYx.2004-2018.zip</v>
      </c>
    </row>
    <row r="1024" spans="1:10" x14ac:dyDescent="0.25">
      <c r="A1024" t="s">
        <v>6</v>
      </c>
      <c r="B1024" t="s">
        <v>17</v>
      </c>
      <c r="C1024" t="s">
        <v>531</v>
      </c>
      <c r="D1024">
        <v>712840</v>
      </c>
      <c r="E1024" t="s">
        <v>10</v>
      </c>
      <c r="F1024">
        <v>53.930799999999998</v>
      </c>
      <c r="G1024">
        <v>-113.9217</v>
      </c>
      <c r="H1024">
        <v>-7</v>
      </c>
      <c r="I1024">
        <v>714</v>
      </c>
      <c r="J1024" t="str">
        <f>HYPERLINK("https://climate.onebuilding.org/WMO_Region_4_North_and_Central_America/CAN_Canada/AB_Alberta/CAN_AB_Busby.AgCM.712840_TMYx.2007-2021.zip")</f>
        <v>https://climate.onebuilding.org/WMO_Region_4_North_and_Central_America/CAN_Canada/AB_Alberta/CAN_AB_Busby.AgCM.712840_TMYx.2007-2021.zip</v>
      </c>
    </row>
    <row r="1025" spans="1:10" x14ac:dyDescent="0.25">
      <c r="A1025" t="s">
        <v>6</v>
      </c>
      <c r="B1025" t="s">
        <v>17</v>
      </c>
      <c r="C1025" t="s">
        <v>531</v>
      </c>
      <c r="D1025">
        <v>712840</v>
      </c>
      <c r="E1025" t="s">
        <v>10</v>
      </c>
      <c r="F1025">
        <v>53.930799999999998</v>
      </c>
      <c r="G1025">
        <v>-113.9217</v>
      </c>
      <c r="H1025">
        <v>-7</v>
      </c>
      <c r="I1025">
        <v>714</v>
      </c>
      <c r="J1025" t="str">
        <f>HYPERLINK("https://climate.onebuilding.org/WMO_Region_4_North_and_Central_America/CAN_Canada/AB_Alberta/CAN_AB_Busby.AgCM.712840_TMYx.2009-2023.zip")</f>
        <v>https://climate.onebuilding.org/WMO_Region_4_North_and_Central_America/CAN_Canada/AB_Alberta/CAN_AB_Busby.AgCM.712840_TMYx.2009-2023.zip</v>
      </c>
    </row>
    <row r="1026" spans="1:10" x14ac:dyDescent="0.25">
      <c r="A1026" t="s">
        <v>6</v>
      </c>
      <c r="B1026" t="s">
        <v>17</v>
      </c>
      <c r="C1026" t="s">
        <v>531</v>
      </c>
      <c r="D1026">
        <v>712840</v>
      </c>
      <c r="E1026" t="s">
        <v>10</v>
      </c>
      <c r="F1026">
        <v>53.930799999999998</v>
      </c>
      <c r="G1026">
        <v>-113.9217</v>
      </c>
      <c r="H1026">
        <v>-7</v>
      </c>
      <c r="I1026">
        <v>714</v>
      </c>
      <c r="J1026" t="str">
        <f>HYPERLINK("https://climate.onebuilding.org/WMO_Region_4_North_and_Central_America/CAN_Canada/AB_Alberta/CAN_AB_Busby.AgCM.712840_TMYx.zip")</f>
        <v>https://climate.onebuilding.org/WMO_Region_4_North_and_Central_America/CAN_Canada/AB_Alberta/CAN_AB_Busby.AgCM.712840_TMYx.zip</v>
      </c>
    </row>
    <row r="1027" spans="1:10" x14ac:dyDescent="0.25">
      <c r="A1027" t="s">
        <v>6</v>
      </c>
      <c r="B1027" t="s">
        <v>17</v>
      </c>
      <c r="C1027" t="s">
        <v>533</v>
      </c>
      <c r="D1027">
        <v>712850</v>
      </c>
      <c r="E1027" t="s">
        <v>534</v>
      </c>
      <c r="F1027">
        <v>54.283299999999997</v>
      </c>
      <c r="G1027">
        <v>-112.9667</v>
      </c>
      <c r="H1027">
        <v>-7</v>
      </c>
      <c r="I1027">
        <v>664</v>
      </c>
      <c r="J1027" t="str">
        <f>HYPERLINK("https://climate.onebuilding.org/WMO_Region_4_North_and_Central_America/CAN_Canada/AB_Alberta/CAN_AB_Abee.AgDM.712850_TMYx.2004-2018.zip")</f>
        <v>https://climate.onebuilding.org/WMO_Region_4_North_and_Central_America/CAN_Canada/AB_Alberta/CAN_AB_Abee.AgDM.712850_TMYx.2004-2018.zip</v>
      </c>
    </row>
    <row r="1028" spans="1:10" x14ac:dyDescent="0.25">
      <c r="A1028" t="s">
        <v>6</v>
      </c>
      <c r="B1028" t="s">
        <v>17</v>
      </c>
      <c r="C1028" t="s">
        <v>533</v>
      </c>
      <c r="D1028">
        <v>712850</v>
      </c>
      <c r="E1028" t="s">
        <v>10</v>
      </c>
      <c r="F1028">
        <v>54.277299999999997</v>
      </c>
      <c r="G1028">
        <v>-112.9654</v>
      </c>
      <c r="H1028">
        <v>-7</v>
      </c>
      <c r="I1028">
        <v>664</v>
      </c>
      <c r="J1028" t="str">
        <f>HYPERLINK("https://climate.onebuilding.org/WMO_Region_4_North_and_Central_America/CAN_Canada/AB_Alberta/CAN_AB_Abee.AgDM.712850_TMYx.2007-2021.zip")</f>
        <v>https://climate.onebuilding.org/WMO_Region_4_North_and_Central_America/CAN_Canada/AB_Alberta/CAN_AB_Abee.AgDM.712850_TMYx.2007-2021.zip</v>
      </c>
    </row>
    <row r="1029" spans="1:10" x14ac:dyDescent="0.25">
      <c r="A1029" t="s">
        <v>6</v>
      </c>
      <c r="B1029" t="s">
        <v>17</v>
      </c>
      <c r="C1029" t="s">
        <v>533</v>
      </c>
      <c r="D1029">
        <v>712850</v>
      </c>
      <c r="E1029" t="s">
        <v>10</v>
      </c>
      <c r="F1029">
        <v>54.277299999999997</v>
      </c>
      <c r="G1029">
        <v>-112.9654</v>
      </c>
      <c r="H1029">
        <v>-7</v>
      </c>
      <c r="I1029">
        <v>664</v>
      </c>
      <c r="J1029" t="str">
        <f>HYPERLINK("https://climate.onebuilding.org/WMO_Region_4_North_and_Central_America/CAN_Canada/AB_Alberta/CAN_AB_Abee.AgDM.712850_TMYx.2009-2023.zip")</f>
        <v>https://climate.onebuilding.org/WMO_Region_4_North_and_Central_America/CAN_Canada/AB_Alberta/CAN_AB_Abee.AgDM.712850_TMYx.2009-2023.zip</v>
      </c>
    </row>
    <row r="1030" spans="1:10" x14ac:dyDescent="0.25">
      <c r="A1030" t="s">
        <v>6</v>
      </c>
      <c r="B1030" t="s">
        <v>17</v>
      </c>
      <c r="C1030" t="s">
        <v>533</v>
      </c>
      <c r="D1030">
        <v>712850</v>
      </c>
      <c r="E1030" t="s">
        <v>10</v>
      </c>
      <c r="F1030">
        <v>54.277299999999997</v>
      </c>
      <c r="G1030">
        <v>-112.9654</v>
      </c>
      <c r="H1030">
        <v>-7</v>
      </c>
      <c r="I1030">
        <v>664</v>
      </c>
      <c r="J1030" t="str">
        <f>HYPERLINK("https://climate.onebuilding.org/WMO_Region_4_North_and_Central_America/CAN_Canada/AB_Alberta/CAN_AB_Abee.AgDM.712850_TMYx.zip")</f>
        <v>https://climate.onebuilding.org/WMO_Region_4_North_and_Central_America/CAN_Canada/AB_Alberta/CAN_AB_Abee.AgDM.712850_TMYx.zip</v>
      </c>
    </row>
    <row r="1031" spans="1:10" x14ac:dyDescent="0.25">
      <c r="A1031" t="s">
        <v>6</v>
      </c>
      <c r="B1031" t="s">
        <v>17</v>
      </c>
      <c r="C1031" t="s">
        <v>535</v>
      </c>
      <c r="D1031">
        <v>712860</v>
      </c>
      <c r="E1031" t="s">
        <v>536</v>
      </c>
      <c r="F1031">
        <v>53.917000000000002</v>
      </c>
      <c r="G1031">
        <v>-112.2792</v>
      </c>
      <c r="H1031">
        <v>-7</v>
      </c>
      <c r="I1031">
        <v>625</v>
      </c>
      <c r="J1031" t="str">
        <f>HYPERLINK("https://climate.onebuilding.org/WMO_Region_4_North_and_Central_America/CAN_Canada/AB_Alberta/CAN_AB_Andrew.AgDM.712860_TMYx.2004-2018.zip")</f>
        <v>https://climate.onebuilding.org/WMO_Region_4_North_and_Central_America/CAN_Canada/AB_Alberta/CAN_AB_Andrew.AgDM.712860_TMYx.2004-2018.zip</v>
      </c>
    </row>
    <row r="1032" spans="1:10" x14ac:dyDescent="0.25">
      <c r="A1032" t="s">
        <v>6</v>
      </c>
      <c r="B1032" t="s">
        <v>17</v>
      </c>
      <c r="C1032" t="s">
        <v>535</v>
      </c>
      <c r="D1032">
        <v>712860</v>
      </c>
      <c r="E1032" t="s">
        <v>10</v>
      </c>
      <c r="F1032">
        <v>53.917000000000002</v>
      </c>
      <c r="G1032">
        <v>-112.2792</v>
      </c>
      <c r="H1032">
        <v>-7</v>
      </c>
      <c r="I1032">
        <v>625</v>
      </c>
      <c r="J1032" t="str">
        <f>HYPERLINK("https://climate.onebuilding.org/WMO_Region_4_North_and_Central_America/CAN_Canada/AB_Alberta/CAN_AB_Andrew.AgDM.712860_TMYx.2007-2021.zip")</f>
        <v>https://climate.onebuilding.org/WMO_Region_4_North_and_Central_America/CAN_Canada/AB_Alberta/CAN_AB_Andrew.AgDM.712860_TMYx.2007-2021.zip</v>
      </c>
    </row>
    <row r="1033" spans="1:10" x14ac:dyDescent="0.25">
      <c r="A1033" t="s">
        <v>6</v>
      </c>
      <c r="B1033" t="s">
        <v>17</v>
      </c>
      <c r="C1033" t="s">
        <v>535</v>
      </c>
      <c r="D1033">
        <v>712860</v>
      </c>
      <c r="E1033" t="s">
        <v>10</v>
      </c>
      <c r="F1033">
        <v>53.917000000000002</v>
      </c>
      <c r="G1033">
        <v>-112.2792</v>
      </c>
      <c r="H1033">
        <v>-7</v>
      </c>
      <c r="I1033">
        <v>625</v>
      </c>
      <c r="J1033" t="str">
        <f>HYPERLINK("https://climate.onebuilding.org/WMO_Region_4_North_and_Central_America/CAN_Canada/AB_Alberta/CAN_AB_Andrew.AgDM.712860_TMYx.2009-2023.zip")</f>
        <v>https://climate.onebuilding.org/WMO_Region_4_North_and_Central_America/CAN_Canada/AB_Alberta/CAN_AB_Andrew.AgDM.712860_TMYx.2009-2023.zip</v>
      </c>
    </row>
    <row r="1034" spans="1:10" x14ac:dyDescent="0.25">
      <c r="A1034" t="s">
        <v>6</v>
      </c>
      <c r="B1034" t="s">
        <v>17</v>
      </c>
      <c r="C1034" t="s">
        <v>535</v>
      </c>
      <c r="D1034">
        <v>712860</v>
      </c>
      <c r="E1034" t="s">
        <v>10</v>
      </c>
      <c r="F1034">
        <v>53.917000000000002</v>
      </c>
      <c r="G1034">
        <v>-112.2792</v>
      </c>
      <c r="H1034">
        <v>-7</v>
      </c>
      <c r="I1034">
        <v>625</v>
      </c>
      <c r="J1034" t="str">
        <f>HYPERLINK("https://climate.onebuilding.org/WMO_Region_4_North_and_Central_America/CAN_Canada/AB_Alberta/CAN_AB_Andrew.AgDM.712860_TMYx.zip")</f>
        <v>https://climate.onebuilding.org/WMO_Region_4_North_and_Central_America/CAN_Canada/AB_Alberta/CAN_AB_Andrew.AgDM.712860_TMYx.zip</v>
      </c>
    </row>
    <row r="1035" spans="1:10" x14ac:dyDescent="0.25">
      <c r="A1035" t="s">
        <v>6</v>
      </c>
      <c r="B1035" t="s">
        <v>17</v>
      </c>
      <c r="C1035" t="s">
        <v>537</v>
      </c>
      <c r="D1035">
        <v>712870</v>
      </c>
      <c r="E1035" t="s">
        <v>538</v>
      </c>
      <c r="F1035">
        <v>54.767000000000003</v>
      </c>
      <c r="G1035">
        <v>-112.81699999999999</v>
      </c>
      <c r="H1035">
        <v>-7</v>
      </c>
      <c r="I1035">
        <v>574</v>
      </c>
      <c r="J1035" t="str">
        <f>HYPERLINK("https://climate.onebuilding.org/WMO_Region_4_North_and_Central_America/CAN_Canada/AB_Alberta/CAN_AB_Atmore.AgDM.712870_TMYx.2004-2018.zip")</f>
        <v>https://climate.onebuilding.org/WMO_Region_4_North_and_Central_America/CAN_Canada/AB_Alberta/CAN_AB_Atmore.AgDM.712870_TMYx.2004-2018.zip</v>
      </c>
    </row>
    <row r="1036" spans="1:10" x14ac:dyDescent="0.25">
      <c r="A1036" t="s">
        <v>6</v>
      </c>
      <c r="B1036" t="s">
        <v>17</v>
      </c>
      <c r="C1036" t="s">
        <v>537</v>
      </c>
      <c r="D1036">
        <v>712870</v>
      </c>
      <c r="E1036" t="s">
        <v>10</v>
      </c>
      <c r="F1036">
        <v>54.780200000000001</v>
      </c>
      <c r="G1036">
        <v>-112.8248</v>
      </c>
      <c r="H1036">
        <v>-7</v>
      </c>
      <c r="I1036">
        <v>574</v>
      </c>
      <c r="J1036" t="str">
        <f>HYPERLINK("https://climate.onebuilding.org/WMO_Region_4_North_and_Central_America/CAN_Canada/AB_Alberta/CAN_AB_Atmore.AgDM.712870_TMYx.2007-2021.zip")</f>
        <v>https://climate.onebuilding.org/WMO_Region_4_North_and_Central_America/CAN_Canada/AB_Alberta/CAN_AB_Atmore.AgDM.712870_TMYx.2007-2021.zip</v>
      </c>
    </row>
    <row r="1037" spans="1:10" x14ac:dyDescent="0.25">
      <c r="A1037" t="s">
        <v>6</v>
      </c>
      <c r="B1037" t="s">
        <v>17</v>
      </c>
      <c r="C1037" t="s">
        <v>537</v>
      </c>
      <c r="D1037">
        <v>712870</v>
      </c>
      <c r="E1037" t="s">
        <v>10</v>
      </c>
      <c r="F1037">
        <v>54.780200000000001</v>
      </c>
      <c r="G1037">
        <v>-112.8248</v>
      </c>
      <c r="H1037">
        <v>-7</v>
      </c>
      <c r="I1037">
        <v>574</v>
      </c>
      <c r="J1037" t="str">
        <f>HYPERLINK("https://climate.onebuilding.org/WMO_Region_4_North_and_Central_America/CAN_Canada/AB_Alberta/CAN_AB_Atmore.AgDM.712870_TMYx.2009-2023.zip")</f>
        <v>https://climate.onebuilding.org/WMO_Region_4_North_and_Central_America/CAN_Canada/AB_Alberta/CAN_AB_Atmore.AgDM.712870_TMYx.2009-2023.zip</v>
      </c>
    </row>
    <row r="1038" spans="1:10" x14ac:dyDescent="0.25">
      <c r="A1038" t="s">
        <v>6</v>
      </c>
      <c r="B1038" t="s">
        <v>17</v>
      </c>
      <c r="C1038" t="s">
        <v>537</v>
      </c>
      <c r="D1038">
        <v>712870</v>
      </c>
      <c r="E1038" t="s">
        <v>10</v>
      </c>
      <c r="F1038">
        <v>54.780200000000001</v>
      </c>
      <c r="G1038">
        <v>-112.8248</v>
      </c>
      <c r="H1038">
        <v>-7</v>
      </c>
      <c r="I1038">
        <v>574</v>
      </c>
      <c r="J1038" t="str">
        <f>HYPERLINK("https://climate.onebuilding.org/WMO_Region_4_North_and_Central_America/CAN_Canada/AB_Alberta/CAN_AB_Atmore.AgDM.712870_TMYx.zip")</f>
        <v>https://climate.onebuilding.org/WMO_Region_4_North_and_Central_America/CAN_Canada/AB_Alberta/CAN_AB_Atmore.AgDM.712870_TMYx.zip</v>
      </c>
    </row>
    <row r="1039" spans="1:10" x14ac:dyDescent="0.25">
      <c r="A1039" t="s">
        <v>6</v>
      </c>
      <c r="B1039" t="s">
        <v>17</v>
      </c>
      <c r="C1039" t="s">
        <v>539</v>
      </c>
      <c r="D1039">
        <v>712890</v>
      </c>
      <c r="E1039" t="s">
        <v>540</v>
      </c>
      <c r="F1039">
        <v>52.332999999999998</v>
      </c>
      <c r="G1039">
        <v>-112.583</v>
      </c>
      <c r="H1039">
        <v>-7</v>
      </c>
      <c r="I1039">
        <v>795</v>
      </c>
      <c r="J1039" t="str">
        <f>HYPERLINK("https://climate.onebuilding.org/WMO_Region_4_North_and_Central_America/CAN_Canada/AB_Alberta/CAN_AB_Stettler.AgDM.712890_TMYx.2004-2018.zip")</f>
        <v>https://climate.onebuilding.org/WMO_Region_4_North_and_Central_America/CAN_Canada/AB_Alberta/CAN_AB_Stettler.AgDM.712890_TMYx.2004-2018.zip</v>
      </c>
    </row>
    <row r="1040" spans="1:10" x14ac:dyDescent="0.25">
      <c r="A1040" t="s">
        <v>6</v>
      </c>
      <c r="B1040" t="s">
        <v>17</v>
      </c>
      <c r="C1040" t="s">
        <v>539</v>
      </c>
      <c r="D1040">
        <v>712890</v>
      </c>
      <c r="E1040" t="s">
        <v>10</v>
      </c>
      <c r="F1040">
        <v>52.346899999999998</v>
      </c>
      <c r="G1040">
        <v>-112.5956</v>
      </c>
      <c r="H1040">
        <v>-7</v>
      </c>
      <c r="I1040">
        <v>795</v>
      </c>
      <c r="J1040" t="str">
        <f>HYPERLINK("https://climate.onebuilding.org/WMO_Region_4_North_and_Central_America/CAN_Canada/AB_Alberta/CAN_AB_Stettler.AgDM.712890_TMYx.2007-2021.zip")</f>
        <v>https://climate.onebuilding.org/WMO_Region_4_North_and_Central_America/CAN_Canada/AB_Alberta/CAN_AB_Stettler.AgDM.712890_TMYx.2007-2021.zip</v>
      </c>
    </row>
    <row r="1041" spans="1:10" x14ac:dyDescent="0.25">
      <c r="A1041" t="s">
        <v>6</v>
      </c>
      <c r="B1041" t="s">
        <v>17</v>
      </c>
      <c r="C1041" t="s">
        <v>539</v>
      </c>
      <c r="D1041">
        <v>712890</v>
      </c>
      <c r="E1041" t="s">
        <v>10</v>
      </c>
      <c r="F1041">
        <v>52.346899999999998</v>
      </c>
      <c r="G1041">
        <v>-112.5956</v>
      </c>
      <c r="H1041">
        <v>-7</v>
      </c>
      <c r="I1041">
        <v>795</v>
      </c>
      <c r="J1041" t="str">
        <f>HYPERLINK("https://climate.onebuilding.org/WMO_Region_4_North_and_Central_America/CAN_Canada/AB_Alberta/CAN_AB_Stettler.AgDM.712890_TMYx.2009-2023.zip")</f>
        <v>https://climate.onebuilding.org/WMO_Region_4_North_and_Central_America/CAN_Canada/AB_Alberta/CAN_AB_Stettler.AgDM.712890_TMYx.2009-2023.zip</v>
      </c>
    </row>
    <row r="1042" spans="1:10" x14ac:dyDescent="0.25">
      <c r="A1042" t="s">
        <v>6</v>
      </c>
      <c r="B1042" t="s">
        <v>17</v>
      </c>
      <c r="C1042" t="s">
        <v>539</v>
      </c>
      <c r="D1042">
        <v>712890</v>
      </c>
      <c r="E1042" t="s">
        <v>10</v>
      </c>
      <c r="F1042">
        <v>52.346899999999998</v>
      </c>
      <c r="G1042">
        <v>-112.5956</v>
      </c>
      <c r="H1042">
        <v>-7</v>
      </c>
      <c r="I1042">
        <v>795</v>
      </c>
      <c r="J1042" t="str">
        <f>HYPERLINK("https://climate.onebuilding.org/WMO_Region_4_North_and_Central_America/CAN_Canada/AB_Alberta/CAN_AB_Stettler.AgDM.712890_TMYx.zip")</f>
        <v>https://climate.onebuilding.org/WMO_Region_4_North_and_Central_America/CAN_Canada/AB_Alberta/CAN_AB_Stettler.AgDM.712890_TMYx.zip</v>
      </c>
    </row>
    <row r="1043" spans="1:10" x14ac:dyDescent="0.25">
      <c r="A1043" t="s">
        <v>6</v>
      </c>
      <c r="B1043" t="s">
        <v>55</v>
      </c>
      <c r="C1043" t="s">
        <v>541</v>
      </c>
      <c r="D1043">
        <v>712900</v>
      </c>
      <c r="E1043" t="s">
        <v>542</v>
      </c>
      <c r="F1043">
        <v>55.283000000000001</v>
      </c>
      <c r="G1043">
        <v>-123.133</v>
      </c>
      <c r="H1043">
        <v>-8</v>
      </c>
      <c r="I1043">
        <v>690</v>
      </c>
      <c r="J1043" t="str">
        <f>HYPERLINK("https://climate.onebuilding.org/WMO_Region_4_North_and_Central_America/CAN_Canada/BC_British_Columbia/CAN_BC_Mackenzie.AP.712900_TMYx.2004-2018.zip")</f>
        <v>https://climate.onebuilding.org/WMO_Region_4_North_and_Central_America/CAN_Canada/BC_British_Columbia/CAN_BC_Mackenzie.AP.712900_TMYx.2004-2018.zip</v>
      </c>
    </row>
    <row r="1044" spans="1:10" x14ac:dyDescent="0.25">
      <c r="A1044" t="s">
        <v>6</v>
      </c>
      <c r="B1044" t="s">
        <v>55</v>
      </c>
      <c r="C1044" t="s">
        <v>541</v>
      </c>
      <c r="D1044">
        <v>712900</v>
      </c>
      <c r="E1044" t="s">
        <v>10</v>
      </c>
      <c r="F1044">
        <v>55.283000000000001</v>
      </c>
      <c r="G1044">
        <v>-123.133</v>
      </c>
      <c r="H1044">
        <v>-8</v>
      </c>
      <c r="I1044">
        <v>690</v>
      </c>
      <c r="J1044" t="str">
        <f>HYPERLINK("https://climate.onebuilding.org/WMO_Region_4_North_and_Central_America/CAN_Canada/BC_British_Columbia/CAN_BC_Mackenzie.AP.712900_TMYx.2007-2021.zip")</f>
        <v>https://climate.onebuilding.org/WMO_Region_4_North_and_Central_America/CAN_Canada/BC_British_Columbia/CAN_BC_Mackenzie.AP.712900_TMYx.2007-2021.zip</v>
      </c>
    </row>
    <row r="1045" spans="1:10" x14ac:dyDescent="0.25">
      <c r="A1045" t="s">
        <v>6</v>
      </c>
      <c r="B1045" t="s">
        <v>55</v>
      </c>
      <c r="C1045" t="s">
        <v>541</v>
      </c>
      <c r="D1045">
        <v>712900</v>
      </c>
      <c r="E1045" t="s">
        <v>10</v>
      </c>
      <c r="F1045">
        <v>55.283000000000001</v>
      </c>
      <c r="G1045">
        <v>-123.133</v>
      </c>
      <c r="H1045">
        <v>-8</v>
      </c>
      <c r="I1045">
        <v>690</v>
      </c>
      <c r="J1045" t="str">
        <f>HYPERLINK("https://climate.onebuilding.org/WMO_Region_4_North_and_Central_America/CAN_Canada/BC_British_Columbia/CAN_BC_Mackenzie.AP.712900_TMYx.2009-2023.zip")</f>
        <v>https://climate.onebuilding.org/WMO_Region_4_North_and_Central_America/CAN_Canada/BC_British_Columbia/CAN_BC_Mackenzie.AP.712900_TMYx.2009-2023.zip</v>
      </c>
    </row>
    <row r="1046" spans="1:10" x14ac:dyDescent="0.25">
      <c r="A1046" t="s">
        <v>6</v>
      </c>
      <c r="B1046" t="s">
        <v>55</v>
      </c>
      <c r="C1046" t="s">
        <v>541</v>
      </c>
      <c r="D1046">
        <v>712900</v>
      </c>
      <c r="E1046" t="s">
        <v>10</v>
      </c>
      <c r="F1046">
        <v>55.283000000000001</v>
      </c>
      <c r="G1046">
        <v>-123.133</v>
      </c>
      <c r="H1046">
        <v>-8</v>
      </c>
      <c r="I1046">
        <v>690</v>
      </c>
      <c r="J1046" t="str">
        <f>HYPERLINK("https://climate.onebuilding.org/WMO_Region_4_North_and_Central_America/CAN_Canada/BC_British_Columbia/CAN_BC_Mackenzie.AP.712900_TMYx.zip")</f>
        <v>https://climate.onebuilding.org/WMO_Region_4_North_and_Central_America/CAN_Canada/BC_British_Columbia/CAN_BC_Mackenzie.AP.712900_TMYx.zip</v>
      </c>
    </row>
    <row r="1047" spans="1:10" x14ac:dyDescent="0.25">
      <c r="A1047" t="s">
        <v>6</v>
      </c>
      <c r="B1047" t="s">
        <v>130</v>
      </c>
      <c r="C1047" t="s">
        <v>543</v>
      </c>
      <c r="D1047">
        <v>712910</v>
      </c>
      <c r="E1047" t="s">
        <v>544</v>
      </c>
      <c r="F1047">
        <v>49.1539</v>
      </c>
      <c r="G1047">
        <v>-88.344700000000003</v>
      </c>
      <c r="H1047">
        <v>-5</v>
      </c>
      <c r="I1047">
        <v>232.6</v>
      </c>
      <c r="J1047" t="str">
        <f>HYPERLINK("https://climate.onebuilding.org/WMO_Region_4_North_and_Central_America/CAN_Canada/ON_Ontario/CAN_ON_Cameron.Falls.712910_TMYx.2004-2018.zip")</f>
        <v>https://climate.onebuilding.org/WMO_Region_4_North_and_Central_America/CAN_Canada/ON_Ontario/CAN_ON_Cameron.Falls.712910_TMYx.2004-2018.zip</v>
      </c>
    </row>
    <row r="1048" spans="1:10" x14ac:dyDescent="0.25">
      <c r="A1048" t="s">
        <v>6</v>
      </c>
      <c r="B1048" t="s">
        <v>130</v>
      </c>
      <c r="C1048" t="s">
        <v>543</v>
      </c>
      <c r="D1048">
        <v>712910</v>
      </c>
      <c r="E1048" t="s">
        <v>10</v>
      </c>
      <c r="F1048">
        <v>49.1539</v>
      </c>
      <c r="G1048">
        <v>-88.344700000000003</v>
      </c>
      <c r="H1048">
        <v>-5</v>
      </c>
      <c r="I1048">
        <v>232.6</v>
      </c>
      <c r="J1048" t="str">
        <f>HYPERLINK("https://climate.onebuilding.org/WMO_Region_4_North_and_Central_America/CAN_Canada/ON_Ontario/CAN_ON_Cameron.Falls.712910_TMYx.2007-2021.zip")</f>
        <v>https://climate.onebuilding.org/WMO_Region_4_North_and_Central_America/CAN_Canada/ON_Ontario/CAN_ON_Cameron.Falls.712910_TMYx.2007-2021.zip</v>
      </c>
    </row>
    <row r="1049" spans="1:10" x14ac:dyDescent="0.25">
      <c r="A1049" t="s">
        <v>6</v>
      </c>
      <c r="B1049" t="s">
        <v>130</v>
      </c>
      <c r="C1049" t="s">
        <v>543</v>
      </c>
      <c r="D1049">
        <v>712910</v>
      </c>
      <c r="E1049" t="s">
        <v>10</v>
      </c>
      <c r="F1049">
        <v>49.1539</v>
      </c>
      <c r="G1049">
        <v>-88.344700000000003</v>
      </c>
      <c r="H1049">
        <v>-5</v>
      </c>
      <c r="I1049">
        <v>232.6</v>
      </c>
      <c r="J1049" t="str">
        <f>HYPERLINK("https://climate.onebuilding.org/WMO_Region_4_North_and_Central_America/CAN_Canada/ON_Ontario/CAN_ON_Cameron.Falls.712910_TMYx.2009-2023.zip")</f>
        <v>https://climate.onebuilding.org/WMO_Region_4_North_and_Central_America/CAN_Canada/ON_Ontario/CAN_ON_Cameron.Falls.712910_TMYx.2009-2023.zip</v>
      </c>
    </row>
    <row r="1050" spans="1:10" x14ac:dyDescent="0.25">
      <c r="A1050" t="s">
        <v>6</v>
      </c>
      <c r="B1050" t="s">
        <v>130</v>
      </c>
      <c r="C1050" t="s">
        <v>543</v>
      </c>
      <c r="D1050">
        <v>712910</v>
      </c>
      <c r="E1050" t="s">
        <v>10</v>
      </c>
      <c r="F1050">
        <v>49.1539</v>
      </c>
      <c r="G1050">
        <v>-88.344700000000003</v>
      </c>
      <c r="H1050">
        <v>-5</v>
      </c>
      <c r="I1050">
        <v>232.6</v>
      </c>
      <c r="J1050" t="str">
        <f>HYPERLINK("https://climate.onebuilding.org/WMO_Region_4_North_and_Central_America/CAN_Canada/ON_Ontario/CAN_ON_Cameron.Falls.712910_TMYx.zip")</f>
        <v>https://climate.onebuilding.org/WMO_Region_4_North_and_Central_America/CAN_Canada/ON_Ontario/CAN_ON_Cameron.Falls.712910_TMYx.zip</v>
      </c>
    </row>
    <row r="1051" spans="1:10" x14ac:dyDescent="0.25">
      <c r="A1051" t="s">
        <v>6</v>
      </c>
      <c r="B1051" t="s">
        <v>58</v>
      </c>
      <c r="C1051" t="s">
        <v>545</v>
      </c>
      <c r="D1051">
        <v>712920</v>
      </c>
      <c r="E1051" t="s">
        <v>546</v>
      </c>
      <c r="F1051">
        <v>51.264699999999998</v>
      </c>
      <c r="G1051">
        <v>-102.46169999999999</v>
      </c>
      <c r="H1051">
        <v>-6</v>
      </c>
      <c r="I1051">
        <v>498.3</v>
      </c>
      <c r="J1051" t="str">
        <f>HYPERLINK("https://climate.onebuilding.org/WMO_Region_4_North_and_Central_America/CAN_Canada/SK_Saskatchewan/CAN_SK_Yorkton.Muni.AP.712920_TMYx.2004-2018.zip")</f>
        <v>https://climate.onebuilding.org/WMO_Region_4_North_and_Central_America/CAN_Canada/SK_Saskatchewan/CAN_SK_Yorkton.Muni.AP.712920_TMYx.2004-2018.zip</v>
      </c>
    </row>
    <row r="1052" spans="1:10" x14ac:dyDescent="0.25">
      <c r="A1052" t="s">
        <v>6</v>
      </c>
      <c r="B1052" t="s">
        <v>58</v>
      </c>
      <c r="C1052" t="s">
        <v>545</v>
      </c>
      <c r="D1052">
        <v>712920</v>
      </c>
      <c r="E1052" t="s">
        <v>10</v>
      </c>
      <c r="F1052">
        <v>51.260100000000001</v>
      </c>
      <c r="G1052">
        <v>-102.46169999999999</v>
      </c>
      <c r="H1052">
        <v>-6</v>
      </c>
      <c r="I1052">
        <v>498.3</v>
      </c>
      <c r="J1052" t="str">
        <f>HYPERLINK("https://climate.onebuilding.org/WMO_Region_4_North_and_Central_America/CAN_Canada/SK_Saskatchewan/CAN_SK_Yorkton.Muni.AP.712920_TMYx.2007-2021.zip")</f>
        <v>https://climate.onebuilding.org/WMO_Region_4_North_and_Central_America/CAN_Canada/SK_Saskatchewan/CAN_SK_Yorkton.Muni.AP.712920_TMYx.2007-2021.zip</v>
      </c>
    </row>
    <row r="1053" spans="1:10" x14ac:dyDescent="0.25">
      <c r="A1053" t="s">
        <v>6</v>
      </c>
      <c r="B1053" t="s">
        <v>58</v>
      </c>
      <c r="C1053" t="s">
        <v>545</v>
      </c>
      <c r="D1053">
        <v>712920</v>
      </c>
      <c r="E1053" t="s">
        <v>10</v>
      </c>
      <c r="F1053">
        <v>51.260100000000001</v>
      </c>
      <c r="G1053">
        <v>-102.46169999999999</v>
      </c>
      <c r="H1053">
        <v>-6</v>
      </c>
      <c r="I1053">
        <v>498.3</v>
      </c>
      <c r="J1053" t="str">
        <f>HYPERLINK("https://climate.onebuilding.org/WMO_Region_4_North_and_Central_America/CAN_Canada/SK_Saskatchewan/CAN_SK_Yorkton.Muni.AP.712920_TMYx.2009-2023.zip")</f>
        <v>https://climate.onebuilding.org/WMO_Region_4_North_and_Central_America/CAN_Canada/SK_Saskatchewan/CAN_SK_Yorkton.Muni.AP.712920_TMYx.2009-2023.zip</v>
      </c>
    </row>
    <row r="1054" spans="1:10" x14ac:dyDescent="0.25">
      <c r="A1054" t="s">
        <v>6</v>
      </c>
      <c r="B1054" t="s">
        <v>58</v>
      </c>
      <c r="C1054" t="s">
        <v>545</v>
      </c>
      <c r="D1054">
        <v>712920</v>
      </c>
      <c r="E1054" t="s">
        <v>10</v>
      </c>
      <c r="F1054">
        <v>51.260100000000001</v>
      </c>
      <c r="G1054">
        <v>-102.46169999999999</v>
      </c>
      <c r="H1054">
        <v>-6</v>
      </c>
      <c r="I1054">
        <v>498.3</v>
      </c>
      <c r="J1054" t="str">
        <f>HYPERLINK("https://climate.onebuilding.org/WMO_Region_4_North_and_Central_America/CAN_Canada/SK_Saskatchewan/CAN_SK_Yorkton.Muni.AP.712920_TMYx.zip")</f>
        <v>https://climate.onebuilding.org/WMO_Region_4_North_and_Central_America/CAN_Canada/SK_Saskatchewan/CAN_SK_Yorkton.Muni.AP.712920_TMYx.zip</v>
      </c>
    </row>
    <row r="1055" spans="1:10" x14ac:dyDescent="0.25">
      <c r="A1055" t="s">
        <v>6</v>
      </c>
      <c r="B1055" t="s">
        <v>130</v>
      </c>
      <c r="C1055" t="s">
        <v>547</v>
      </c>
      <c r="D1055">
        <v>712940</v>
      </c>
      <c r="E1055" t="s">
        <v>548</v>
      </c>
      <c r="F1055">
        <v>45.071399999999997</v>
      </c>
      <c r="G1055">
        <v>-77.878900000000002</v>
      </c>
      <c r="H1055">
        <v>-5</v>
      </c>
      <c r="I1055">
        <v>330.7</v>
      </c>
      <c r="J1055" t="str">
        <f>HYPERLINK("https://climate.onebuilding.org/WMO_Region_4_North_and_Central_America/CAN_Canada/ON_Ontario/CAN_ON_Bancroft.AP.712940_TMYx.2004-2018.zip")</f>
        <v>https://climate.onebuilding.org/WMO_Region_4_North_and_Central_America/CAN_Canada/ON_Ontario/CAN_ON_Bancroft.AP.712940_TMYx.2004-2018.zip</v>
      </c>
    </row>
    <row r="1056" spans="1:10" x14ac:dyDescent="0.25">
      <c r="A1056" t="s">
        <v>6</v>
      </c>
      <c r="B1056" t="s">
        <v>130</v>
      </c>
      <c r="C1056" t="s">
        <v>547</v>
      </c>
      <c r="D1056">
        <v>712940</v>
      </c>
      <c r="E1056" t="s">
        <v>10</v>
      </c>
      <c r="F1056">
        <v>45.071599999999997</v>
      </c>
      <c r="G1056">
        <v>-77.879900000000006</v>
      </c>
      <c r="H1056">
        <v>-5</v>
      </c>
      <c r="I1056">
        <v>330.7</v>
      </c>
      <c r="J1056" t="str">
        <f>HYPERLINK("https://climate.onebuilding.org/WMO_Region_4_North_and_Central_America/CAN_Canada/ON_Ontario/CAN_ON_Bancroft.AP.712940_TMYx.2007-2021.zip")</f>
        <v>https://climate.onebuilding.org/WMO_Region_4_North_and_Central_America/CAN_Canada/ON_Ontario/CAN_ON_Bancroft.AP.712940_TMYx.2007-2021.zip</v>
      </c>
    </row>
    <row r="1057" spans="1:10" x14ac:dyDescent="0.25">
      <c r="A1057" t="s">
        <v>6</v>
      </c>
      <c r="B1057" t="s">
        <v>130</v>
      </c>
      <c r="C1057" t="s">
        <v>547</v>
      </c>
      <c r="D1057">
        <v>712940</v>
      </c>
      <c r="E1057" t="s">
        <v>10</v>
      </c>
      <c r="F1057">
        <v>45.071599999999997</v>
      </c>
      <c r="G1057">
        <v>-77.879900000000006</v>
      </c>
      <c r="H1057">
        <v>-5</v>
      </c>
      <c r="I1057">
        <v>330.7</v>
      </c>
      <c r="J1057" t="str">
        <f>HYPERLINK("https://climate.onebuilding.org/WMO_Region_4_North_and_Central_America/CAN_Canada/ON_Ontario/CAN_ON_Bancroft.AP.712940_TMYx.2009-2023.zip")</f>
        <v>https://climate.onebuilding.org/WMO_Region_4_North_and_Central_America/CAN_Canada/ON_Ontario/CAN_ON_Bancroft.AP.712940_TMYx.2009-2023.zip</v>
      </c>
    </row>
    <row r="1058" spans="1:10" x14ac:dyDescent="0.25">
      <c r="A1058" t="s">
        <v>6</v>
      </c>
      <c r="B1058" t="s">
        <v>130</v>
      </c>
      <c r="C1058" t="s">
        <v>547</v>
      </c>
      <c r="D1058">
        <v>712940</v>
      </c>
      <c r="E1058" t="s">
        <v>10</v>
      </c>
      <c r="F1058">
        <v>45.071599999999997</v>
      </c>
      <c r="G1058">
        <v>-77.879900000000006</v>
      </c>
      <c r="H1058">
        <v>-5</v>
      </c>
      <c r="I1058">
        <v>330.7</v>
      </c>
      <c r="J1058" t="str">
        <f>HYPERLINK("https://climate.onebuilding.org/WMO_Region_4_North_and_Central_America/CAN_Canada/ON_Ontario/CAN_ON_Bancroft.AP.712940_TMYx.zip")</f>
        <v>https://climate.onebuilding.org/WMO_Region_4_North_and_Central_America/CAN_Canada/ON_Ontario/CAN_ON_Bancroft.AP.712940_TMYx.zip</v>
      </c>
    </row>
    <row r="1059" spans="1:10" x14ac:dyDescent="0.25">
      <c r="A1059" t="s">
        <v>6</v>
      </c>
      <c r="B1059" t="s">
        <v>130</v>
      </c>
      <c r="C1059" t="s">
        <v>549</v>
      </c>
      <c r="D1059">
        <v>712950</v>
      </c>
      <c r="E1059" t="s">
        <v>550</v>
      </c>
      <c r="F1059">
        <v>50.630600000000001</v>
      </c>
      <c r="G1059">
        <v>-93.221400000000003</v>
      </c>
      <c r="H1059">
        <v>-6</v>
      </c>
      <c r="I1059">
        <v>362.6</v>
      </c>
      <c r="J1059" t="str">
        <f>HYPERLINK("https://climate.onebuilding.org/WMO_Region_4_North_and_Central_America/CAN_Canada/ON_Ontario/CAN_ON_Ear.Falls.712950_TMYx.2004-2018.zip")</f>
        <v>https://climate.onebuilding.org/WMO_Region_4_North_and_Central_America/CAN_Canada/ON_Ontario/CAN_ON_Ear.Falls.712950_TMYx.2004-2018.zip</v>
      </c>
    </row>
    <row r="1060" spans="1:10" x14ac:dyDescent="0.25">
      <c r="A1060" t="s">
        <v>6</v>
      </c>
      <c r="B1060" t="s">
        <v>130</v>
      </c>
      <c r="C1060" t="s">
        <v>549</v>
      </c>
      <c r="D1060">
        <v>712950</v>
      </c>
      <c r="E1060" t="s">
        <v>10</v>
      </c>
      <c r="F1060">
        <v>50.630600000000001</v>
      </c>
      <c r="G1060">
        <v>-93.221400000000003</v>
      </c>
      <c r="H1060">
        <v>-6</v>
      </c>
      <c r="I1060">
        <v>362.6</v>
      </c>
      <c r="J1060" t="str">
        <f>HYPERLINK("https://climate.onebuilding.org/WMO_Region_4_North_and_Central_America/CAN_Canada/ON_Ontario/CAN_ON_Ear.Falls.712950_TMYx.2007-2021.zip")</f>
        <v>https://climate.onebuilding.org/WMO_Region_4_North_and_Central_America/CAN_Canada/ON_Ontario/CAN_ON_Ear.Falls.712950_TMYx.2007-2021.zip</v>
      </c>
    </row>
    <row r="1061" spans="1:10" x14ac:dyDescent="0.25">
      <c r="A1061" t="s">
        <v>6</v>
      </c>
      <c r="B1061" t="s">
        <v>130</v>
      </c>
      <c r="C1061" t="s">
        <v>549</v>
      </c>
      <c r="D1061">
        <v>712950</v>
      </c>
      <c r="E1061" t="s">
        <v>10</v>
      </c>
      <c r="F1061">
        <v>50.630600000000001</v>
      </c>
      <c r="G1061">
        <v>-93.221400000000003</v>
      </c>
      <c r="H1061">
        <v>-6</v>
      </c>
      <c r="I1061">
        <v>362.6</v>
      </c>
      <c r="J1061" t="str">
        <f>HYPERLINK("https://climate.onebuilding.org/WMO_Region_4_North_and_Central_America/CAN_Canada/ON_Ontario/CAN_ON_Ear.Falls.712950_TMYx.2009-2023.zip")</f>
        <v>https://climate.onebuilding.org/WMO_Region_4_North_and_Central_America/CAN_Canada/ON_Ontario/CAN_ON_Ear.Falls.712950_TMYx.2009-2023.zip</v>
      </c>
    </row>
    <row r="1062" spans="1:10" x14ac:dyDescent="0.25">
      <c r="A1062" t="s">
        <v>6</v>
      </c>
      <c r="B1062" t="s">
        <v>130</v>
      </c>
      <c r="C1062" t="s">
        <v>549</v>
      </c>
      <c r="D1062">
        <v>712950</v>
      </c>
      <c r="E1062" t="s">
        <v>10</v>
      </c>
      <c r="F1062">
        <v>50.630600000000001</v>
      </c>
      <c r="G1062">
        <v>-93.221400000000003</v>
      </c>
      <c r="H1062">
        <v>-6</v>
      </c>
      <c r="I1062">
        <v>362.6</v>
      </c>
      <c r="J1062" t="str">
        <f>HYPERLINK("https://climate.onebuilding.org/WMO_Region_4_North_and_Central_America/CAN_Canada/ON_Ontario/CAN_ON_Ear.Falls.712950_TMYx.zip")</f>
        <v>https://climate.onebuilding.org/WMO_Region_4_North_and_Central_America/CAN_Canada/ON_Ontario/CAN_ON_Ear.Falls.712950_TMYx.zip</v>
      </c>
    </row>
    <row r="1063" spans="1:10" x14ac:dyDescent="0.25">
      <c r="A1063" t="s">
        <v>6</v>
      </c>
      <c r="B1063" t="s">
        <v>130</v>
      </c>
      <c r="C1063" t="s">
        <v>551</v>
      </c>
      <c r="D1063">
        <v>712960</v>
      </c>
      <c r="E1063" t="s">
        <v>552</v>
      </c>
      <c r="F1063">
        <v>44.2333</v>
      </c>
      <c r="G1063">
        <v>-79.783299999999997</v>
      </c>
      <c r="H1063">
        <v>-5</v>
      </c>
      <c r="I1063">
        <v>251</v>
      </c>
      <c r="J1063" t="str">
        <f>HYPERLINK("https://climate.onebuilding.org/WMO_Region_4_North_and_Central_America/CAN_Canada/ON_Ontario/CAN_ON_Egbert.CS.712960_TMYx.2004-2018.zip")</f>
        <v>https://climate.onebuilding.org/WMO_Region_4_North_and_Central_America/CAN_Canada/ON_Ontario/CAN_ON_Egbert.CS.712960_TMYx.2004-2018.zip</v>
      </c>
    </row>
    <row r="1064" spans="1:10" x14ac:dyDescent="0.25">
      <c r="A1064" t="s">
        <v>6</v>
      </c>
      <c r="B1064" t="s">
        <v>130</v>
      </c>
      <c r="C1064" t="s">
        <v>551</v>
      </c>
      <c r="D1064">
        <v>712960</v>
      </c>
      <c r="E1064" t="s">
        <v>10</v>
      </c>
      <c r="F1064">
        <v>44.2331</v>
      </c>
      <c r="G1064">
        <v>-79.78</v>
      </c>
      <c r="H1064">
        <v>-5</v>
      </c>
      <c r="I1064">
        <v>251</v>
      </c>
      <c r="J1064" t="str">
        <f>HYPERLINK("https://climate.onebuilding.org/WMO_Region_4_North_and_Central_America/CAN_Canada/ON_Ontario/CAN_ON_Egbert.CS.712960_TMYx.2007-2021.zip")</f>
        <v>https://climate.onebuilding.org/WMO_Region_4_North_and_Central_America/CAN_Canada/ON_Ontario/CAN_ON_Egbert.CS.712960_TMYx.2007-2021.zip</v>
      </c>
    </row>
    <row r="1065" spans="1:10" x14ac:dyDescent="0.25">
      <c r="A1065" t="s">
        <v>6</v>
      </c>
      <c r="B1065" t="s">
        <v>130</v>
      </c>
      <c r="C1065" t="s">
        <v>551</v>
      </c>
      <c r="D1065">
        <v>712960</v>
      </c>
      <c r="E1065" t="s">
        <v>10</v>
      </c>
      <c r="F1065">
        <v>44.2331</v>
      </c>
      <c r="G1065">
        <v>-79.78</v>
      </c>
      <c r="H1065">
        <v>-5</v>
      </c>
      <c r="I1065">
        <v>251</v>
      </c>
      <c r="J1065" t="str">
        <f>HYPERLINK("https://climate.onebuilding.org/WMO_Region_4_North_and_Central_America/CAN_Canada/ON_Ontario/CAN_ON_Egbert.CS.712960_TMYx.2009-2023.zip")</f>
        <v>https://climate.onebuilding.org/WMO_Region_4_North_and_Central_America/CAN_Canada/ON_Ontario/CAN_ON_Egbert.CS.712960_TMYx.2009-2023.zip</v>
      </c>
    </row>
    <row r="1066" spans="1:10" x14ac:dyDescent="0.25">
      <c r="A1066" t="s">
        <v>6</v>
      </c>
      <c r="B1066" t="s">
        <v>130</v>
      </c>
      <c r="C1066" t="s">
        <v>551</v>
      </c>
      <c r="D1066">
        <v>712960</v>
      </c>
      <c r="E1066" t="s">
        <v>10</v>
      </c>
      <c r="F1066">
        <v>44.2331</v>
      </c>
      <c r="G1066">
        <v>-79.78</v>
      </c>
      <c r="H1066">
        <v>-5</v>
      </c>
      <c r="I1066">
        <v>251</v>
      </c>
      <c r="J1066" t="str">
        <f>HYPERLINK("https://climate.onebuilding.org/WMO_Region_4_North_and_Central_America/CAN_Canada/ON_Ontario/CAN_ON_Egbert.CS.712960_TMYx.zip")</f>
        <v>https://climate.onebuilding.org/WMO_Region_4_North_and_Central_America/CAN_Canada/ON_Ontario/CAN_ON_Egbert.CS.712960_TMYx.zip</v>
      </c>
    </row>
    <row r="1067" spans="1:10" x14ac:dyDescent="0.25">
      <c r="A1067" t="s">
        <v>6</v>
      </c>
      <c r="B1067" t="s">
        <v>130</v>
      </c>
      <c r="C1067" t="s">
        <v>553</v>
      </c>
      <c r="D1067">
        <v>712961</v>
      </c>
      <c r="E1067" t="s">
        <v>10</v>
      </c>
      <c r="F1067">
        <v>44.232999999999997</v>
      </c>
      <c r="G1067">
        <v>-79.781000000000006</v>
      </c>
      <c r="H1067">
        <v>-5</v>
      </c>
      <c r="I1067">
        <v>251</v>
      </c>
      <c r="J1067" t="str">
        <f>HYPERLINK("https://climate.onebuilding.org/WMO_Region_4_North_and_Central_America/CAN_Canada/ON_Ontario/CAN_ON_Egbert.CS.CRN.712961_TMYx.2007-2021.zip")</f>
        <v>https://climate.onebuilding.org/WMO_Region_4_North_and_Central_America/CAN_Canada/ON_Ontario/CAN_ON_Egbert.CS.CRN.712961_TMYx.2007-2021.zip</v>
      </c>
    </row>
    <row r="1068" spans="1:10" x14ac:dyDescent="0.25">
      <c r="A1068" t="s">
        <v>6</v>
      </c>
      <c r="B1068" t="s">
        <v>130</v>
      </c>
      <c r="C1068" t="s">
        <v>553</v>
      </c>
      <c r="D1068">
        <v>712961</v>
      </c>
      <c r="E1068" t="s">
        <v>10</v>
      </c>
      <c r="F1068">
        <v>44.232999999999997</v>
      </c>
      <c r="G1068">
        <v>-79.781000000000006</v>
      </c>
      <c r="H1068">
        <v>-5</v>
      </c>
      <c r="I1068">
        <v>251</v>
      </c>
      <c r="J1068" t="str">
        <f>HYPERLINK("https://climate.onebuilding.org/WMO_Region_4_North_and_Central_America/CAN_Canada/ON_Ontario/CAN_ON_Egbert.CS.CRN.712961_TMYx.2009-2023.zip")</f>
        <v>https://climate.onebuilding.org/WMO_Region_4_North_and_Central_America/CAN_Canada/ON_Ontario/CAN_ON_Egbert.CS.CRN.712961_TMYx.2009-2023.zip</v>
      </c>
    </row>
    <row r="1069" spans="1:10" x14ac:dyDescent="0.25">
      <c r="A1069" t="s">
        <v>6</v>
      </c>
      <c r="B1069" t="s">
        <v>130</v>
      </c>
      <c r="C1069" t="s">
        <v>553</v>
      </c>
      <c r="D1069">
        <v>712961</v>
      </c>
      <c r="E1069" t="s">
        <v>10</v>
      </c>
      <c r="F1069">
        <v>44.232999999999997</v>
      </c>
      <c r="G1069">
        <v>-79.781000000000006</v>
      </c>
      <c r="H1069">
        <v>-5</v>
      </c>
      <c r="I1069">
        <v>251</v>
      </c>
      <c r="J1069" t="str">
        <f>HYPERLINK("https://climate.onebuilding.org/WMO_Region_4_North_and_Central_America/CAN_Canada/ON_Ontario/CAN_ON_Egbert.CS.CRN.712961_TMYx.zip")</f>
        <v>https://climate.onebuilding.org/WMO_Region_4_North_and_Central_America/CAN_Canada/ON_Ontario/CAN_ON_Egbert.CS.CRN.712961_TMYx.zip</v>
      </c>
    </row>
    <row r="1070" spans="1:10" x14ac:dyDescent="0.25">
      <c r="A1070" t="s">
        <v>6</v>
      </c>
      <c r="B1070" t="s">
        <v>130</v>
      </c>
      <c r="C1070" t="s">
        <v>554</v>
      </c>
      <c r="D1070">
        <v>712970</v>
      </c>
      <c r="E1070" t="s">
        <v>555</v>
      </c>
      <c r="F1070">
        <v>43.291699999999999</v>
      </c>
      <c r="G1070">
        <v>-79.908299999999997</v>
      </c>
      <c r="H1070">
        <v>-5</v>
      </c>
      <c r="I1070">
        <v>102</v>
      </c>
      <c r="J1070" t="str">
        <f>HYPERLINK("https://climate.onebuilding.org/WMO_Region_4_North_and_Central_America/CAN_Canada/ON_Ontario/CAN_ON_Hamilton-Royal.Botanic.Gardens.712970_TMYx.2004-2018.zip")</f>
        <v>https://climate.onebuilding.org/WMO_Region_4_North_and_Central_America/CAN_Canada/ON_Ontario/CAN_ON_Hamilton-Royal.Botanic.Gardens.712970_TMYx.2004-2018.zip</v>
      </c>
    </row>
    <row r="1071" spans="1:10" x14ac:dyDescent="0.25">
      <c r="A1071" t="s">
        <v>6</v>
      </c>
      <c r="B1071" t="s">
        <v>130</v>
      </c>
      <c r="C1071" t="s">
        <v>554</v>
      </c>
      <c r="D1071">
        <v>712970</v>
      </c>
      <c r="E1071" t="s">
        <v>10</v>
      </c>
      <c r="F1071">
        <v>43.2864</v>
      </c>
      <c r="G1071">
        <v>-79.905199999999994</v>
      </c>
      <c r="H1071">
        <v>-5</v>
      </c>
      <c r="I1071">
        <v>102</v>
      </c>
      <c r="J1071" t="str">
        <f>HYPERLINK("https://climate.onebuilding.org/WMO_Region_4_North_and_Central_America/CAN_Canada/ON_Ontario/CAN_ON_Hamilton-Royal.Botanic.Gardens.712970_TMYx.2007-2021.zip")</f>
        <v>https://climate.onebuilding.org/WMO_Region_4_North_and_Central_America/CAN_Canada/ON_Ontario/CAN_ON_Hamilton-Royal.Botanic.Gardens.712970_TMYx.2007-2021.zip</v>
      </c>
    </row>
    <row r="1072" spans="1:10" x14ac:dyDescent="0.25">
      <c r="A1072" t="s">
        <v>6</v>
      </c>
      <c r="B1072" t="s">
        <v>130</v>
      </c>
      <c r="C1072" t="s">
        <v>554</v>
      </c>
      <c r="D1072">
        <v>712970</v>
      </c>
      <c r="E1072" t="s">
        <v>10</v>
      </c>
      <c r="F1072">
        <v>43.2864</v>
      </c>
      <c r="G1072">
        <v>-79.905199999999994</v>
      </c>
      <c r="H1072">
        <v>-5</v>
      </c>
      <c r="I1072">
        <v>102</v>
      </c>
      <c r="J1072" t="str">
        <f>HYPERLINK("https://climate.onebuilding.org/WMO_Region_4_North_and_Central_America/CAN_Canada/ON_Ontario/CAN_ON_Hamilton-Royal.Botanic.Gardens.712970_TMYx.2009-2023.zip")</f>
        <v>https://climate.onebuilding.org/WMO_Region_4_North_and_Central_America/CAN_Canada/ON_Ontario/CAN_ON_Hamilton-Royal.Botanic.Gardens.712970_TMYx.2009-2023.zip</v>
      </c>
    </row>
    <row r="1073" spans="1:10" x14ac:dyDescent="0.25">
      <c r="A1073" t="s">
        <v>6</v>
      </c>
      <c r="B1073" t="s">
        <v>130</v>
      </c>
      <c r="C1073" t="s">
        <v>554</v>
      </c>
      <c r="D1073">
        <v>712970</v>
      </c>
      <c r="E1073" t="s">
        <v>10</v>
      </c>
      <c r="F1073">
        <v>43.2864</v>
      </c>
      <c r="G1073">
        <v>-79.905199999999994</v>
      </c>
      <c r="H1073">
        <v>-5</v>
      </c>
      <c r="I1073">
        <v>102</v>
      </c>
      <c r="J1073" t="str">
        <f>HYPERLINK("https://climate.onebuilding.org/WMO_Region_4_North_and_Central_America/CAN_Canada/ON_Ontario/CAN_ON_Hamilton-Royal.Botanic.Gardens.712970_TMYx.zip")</f>
        <v>https://climate.onebuilding.org/WMO_Region_4_North_and_Central_America/CAN_Canada/ON_Ontario/CAN_ON_Hamilton-Royal.Botanic.Gardens.712970_TMYx.zip</v>
      </c>
    </row>
    <row r="1074" spans="1:10" x14ac:dyDescent="0.25">
      <c r="A1074" t="s">
        <v>6</v>
      </c>
      <c r="B1074" t="s">
        <v>130</v>
      </c>
      <c r="C1074" t="s">
        <v>556</v>
      </c>
      <c r="D1074">
        <v>712980</v>
      </c>
      <c r="E1074" t="s">
        <v>557</v>
      </c>
      <c r="F1074">
        <v>42.033299999999997</v>
      </c>
      <c r="G1074">
        <v>-82.9</v>
      </c>
      <c r="H1074">
        <v>-5</v>
      </c>
      <c r="I1074">
        <v>192.3</v>
      </c>
      <c r="J1074" t="str">
        <f>HYPERLINK("https://climate.onebuilding.org/WMO_Region_4_North_and_Central_America/CAN_Canada/ON_Ontario/CAN_ON_Harrow.CDA.712980_TMYx.2004-2018.zip")</f>
        <v>https://climate.onebuilding.org/WMO_Region_4_North_and_Central_America/CAN_Canada/ON_Ontario/CAN_ON_Harrow.CDA.712980_TMYx.2004-2018.zip</v>
      </c>
    </row>
    <row r="1075" spans="1:10" x14ac:dyDescent="0.25">
      <c r="A1075" t="s">
        <v>6</v>
      </c>
      <c r="B1075" t="s">
        <v>130</v>
      </c>
      <c r="C1075" t="s">
        <v>556</v>
      </c>
      <c r="D1075">
        <v>712980</v>
      </c>
      <c r="E1075" t="s">
        <v>10</v>
      </c>
      <c r="F1075">
        <v>42.033299999999997</v>
      </c>
      <c r="G1075">
        <v>-82.896000000000001</v>
      </c>
      <c r="H1075">
        <v>-5</v>
      </c>
      <c r="I1075">
        <v>192.3</v>
      </c>
      <c r="J1075" t="str">
        <f>HYPERLINK("https://climate.onebuilding.org/WMO_Region_4_North_and_Central_America/CAN_Canada/ON_Ontario/CAN_ON_Harrow.CDA.712980_TMYx.2007-2021.zip")</f>
        <v>https://climate.onebuilding.org/WMO_Region_4_North_and_Central_America/CAN_Canada/ON_Ontario/CAN_ON_Harrow.CDA.712980_TMYx.2007-2021.zip</v>
      </c>
    </row>
    <row r="1076" spans="1:10" x14ac:dyDescent="0.25">
      <c r="A1076" t="s">
        <v>6</v>
      </c>
      <c r="B1076" t="s">
        <v>130</v>
      </c>
      <c r="C1076" t="s">
        <v>556</v>
      </c>
      <c r="D1076">
        <v>712980</v>
      </c>
      <c r="E1076" t="s">
        <v>10</v>
      </c>
      <c r="F1076">
        <v>42.033299999999997</v>
      </c>
      <c r="G1076">
        <v>-82.896000000000001</v>
      </c>
      <c r="H1076">
        <v>-5</v>
      </c>
      <c r="I1076">
        <v>192.3</v>
      </c>
      <c r="J1076" t="str">
        <f>HYPERLINK("https://climate.onebuilding.org/WMO_Region_4_North_and_Central_America/CAN_Canada/ON_Ontario/CAN_ON_Harrow.CDA.712980_TMYx.2009-2023.zip")</f>
        <v>https://climate.onebuilding.org/WMO_Region_4_North_and_Central_America/CAN_Canada/ON_Ontario/CAN_ON_Harrow.CDA.712980_TMYx.2009-2023.zip</v>
      </c>
    </row>
    <row r="1077" spans="1:10" x14ac:dyDescent="0.25">
      <c r="A1077" t="s">
        <v>6</v>
      </c>
      <c r="B1077" t="s">
        <v>130</v>
      </c>
      <c r="C1077" t="s">
        <v>556</v>
      </c>
      <c r="D1077">
        <v>712980</v>
      </c>
      <c r="E1077" t="s">
        <v>10</v>
      </c>
      <c r="F1077">
        <v>42.033299999999997</v>
      </c>
      <c r="G1077">
        <v>-82.896000000000001</v>
      </c>
      <c r="H1077">
        <v>-5</v>
      </c>
      <c r="I1077">
        <v>192.3</v>
      </c>
      <c r="J1077" t="str">
        <f>HYPERLINK("https://climate.onebuilding.org/WMO_Region_4_North_and_Central_America/CAN_Canada/ON_Ontario/CAN_ON_Harrow.CDA.712980_TMYx.zip")</f>
        <v>https://climate.onebuilding.org/WMO_Region_4_North_and_Central_America/CAN_Canada/ON_Ontario/CAN_ON_Harrow.CDA.712980_TMYx.zip</v>
      </c>
    </row>
    <row r="1078" spans="1:10" x14ac:dyDescent="0.25">
      <c r="A1078" t="s">
        <v>6</v>
      </c>
      <c r="B1078" t="s">
        <v>130</v>
      </c>
      <c r="C1078" t="s">
        <v>558</v>
      </c>
      <c r="D1078">
        <v>713000</v>
      </c>
      <c r="E1078" t="s">
        <v>559</v>
      </c>
      <c r="F1078">
        <v>45</v>
      </c>
      <c r="G1078">
        <v>-75.633300000000006</v>
      </c>
      <c r="H1078">
        <v>-5</v>
      </c>
      <c r="I1078">
        <v>99.4</v>
      </c>
      <c r="J1078" t="str">
        <f>HYPERLINK("https://climate.onebuilding.org/WMO_Region_4_North_and_Central_America/CAN_Canada/ON_Ontario/CAN_ON_Kemptville.CS.713000_TMYx.2004-2018.zip")</f>
        <v>https://climate.onebuilding.org/WMO_Region_4_North_and_Central_America/CAN_Canada/ON_Ontario/CAN_ON_Kemptville.CS.713000_TMYx.2004-2018.zip</v>
      </c>
    </row>
    <row r="1079" spans="1:10" x14ac:dyDescent="0.25">
      <c r="A1079" t="s">
        <v>6</v>
      </c>
      <c r="B1079" t="s">
        <v>130</v>
      </c>
      <c r="C1079" t="s">
        <v>558</v>
      </c>
      <c r="D1079">
        <v>713000</v>
      </c>
      <c r="E1079" t="s">
        <v>10</v>
      </c>
      <c r="F1079">
        <v>45</v>
      </c>
      <c r="G1079">
        <v>-75.633300000000006</v>
      </c>
      <c r="H1079">
        <v>-5</v>
      </c>
      <c r="I1079">
        <v>99.4</v>
      </c>
      <c r="J1079" t="str">
        <f>HYPERLINK("https://climate.onebuilding.org/WMO_Region_4_North_and_Central_America/CAN_Canada/ON_Ontario/CAN_ON_Kemptville.CS.713000_TMYx.2007-2021.zip")</f>
        <v>https://climate.onebuilding.org/WMO_Region_4_North_and_Central_America/CAN_Canada/ON_Ontario/CAN_ON_Kemptville.CS.713000_TMYx.2007-2021.zip</v>
      </c>
    </row>
    <row r="1080" spans="1:10" x14ac:dyDescent="0.25">
      <c r="A1080" t="s">
        <v>6</v>
      </c>
      <c r="B1080" t="s">
        <v>130</v>
      </c>
      <c r="C1080" t="s">
        <v>558</v>
      </c>
      <c r="D1080">
        <v>713000</v>
      </c>
      <c r="E1080" t="s">
        <v>10</v>
      </c>
      <c r="F1080">
        <v>45</v>
      </c>
      <c r="G1080">
        <v>-75.633300000000006</v>
      </c>
      <c r="H1080">
        <v>-5</v>
      </c>
      <c r="I1080">
        <v>99.4</v>
      </c>
      <c r="J1080" t="str">
        <f>HYPERLINK("https://climate.onebuilding.org/WMO_Region_4_North_and_Central_America/CAN_Canada/ON_Ontario/CAN_ON_Kemptville.CS.713000_TMYx.2009-2023.zip")</f>
        <v>https://climate.onebuilding.org/WMO_Region_4_North_and_Central_America/CAN_Canada/ON_Ontario/CAN_ON_Kemptville.CS.713000_TMYx.2009-2023.zip</v>
      </c>
    </row>
    <row r="1081" spans="1:10" x14ac:dyDescent="0.25">
      <c r="A1081" t="s">
        <v>6</v>
      </c>
      <c r="B1081" t="s">
        <v>130</v>
      </c>
      <c r="C1081" t="s">
        <v>558</v>
      </c>
      <c r="D1081">
        <v>713000</v>
      </c>
      <c r="E1081" t="s">
        <v>10</v>
      </c>
      <c r="F1081">
        <v>45</v>
      </c>
      <c r="G1081">
        <v>-75.633300000000006</v>
      </c>
      <c r="H1081">
        <v>-5</v>
      </c>
      <c r="I1081">
        <v>99.4</v>
      </c>
      <c r="J1081" t="str">
        <f>HYPERLINK("https://climate.onebuilding.org/WMO_Region_4_North_and_Central_America/CAN_Canada/ON_Ontario/CAN_ON_Kemptville.CS.713000_TMYx.zip")</f>
        <v>https://climate.onebuilding.org/WMO_Region_4_North_and_Central_America/CAN_Canada/ON_Ontario/CAN_ON_Kemptville.CS.713000_TMYx.zip</v>
      </c>
    </row>
    <row r="1082" spans="1:10" x14ac:dyDescent="0.25">
      <c r="A1082" t="s">
        <v>6</v>
      </c>
      <c r="B1082" t="s">
        <v>130</v>
      </c>
      <c r="C1082" t="s">
        <v>560</v>
      </c>
      <c r="D1082">
        <v>713010</v>
      </c>
      <c r="E1082" t="s">
        <v>561</v>
      </c>
      <c r="F1082">
        <v>48.15</v>
      </c>
      <c r="G1082">
        <v>-80</v>
      </c>
      <c r="H1082">
        <v>-5</v>
      </c>
      <c r="I1082">
        <v>324</v>
      </c>
      <c r="J1082" t="str">
        <f>HYPERLINK("https://climate.onebuilding.org/WMO_Region_4_North_and_Central_America/CAN_Canada/ON_Ontario/CAN_ON_Kirkland.Lake.CS.713010_TMYx.2004-2018.zip")</f>
        <v>https://climate.onebuilding.org/WMO_Region_4_North_and_Central_America/CAN_Canada/ON_Ontario/CAN_ON_Kirkland.Lake.CS.713010_TMYx.2004-2018.zip</v>
      </c>
    </row>
    <row r="1083" spans="1:10" x14ac:dyDescent="0.25">
      <c r="A1083" t="s">
        <v>6</v>
      </c>
      <c r="B1083" t="s">
        <v>130</v>
      </c>
      <c r="C1083" t="s">
        <v>560</v>
      </c>
      <c r="D1083">
        <v>713010</v>
      </c>
      <c r="E1083" t="s">
        <v>10</v>
      </c>
      <c r="F1083">
        <v>48.15</v>
      </c>
      <c r="G1083">
        <v>-80</v>
      </c>
      <c r="H1083">
        <v>-5</v>
      </c>
      <c r="I1083">
        <v>324</v>
      </c>
      <c r="J1083" t="str">
        <f>HYPERLINK("https://climate.onebuilding.org/WMO_Region_4_North_and_Central_America/CAN_Canada/ON_Ontario/CAN_ON_Kirkland.Lake.CS.713010_TMYx.2007-2021.zip")</f>
        <v>https://climate.onebuilding.org/WMO_Region_4_North_and_Central_America/CAN_Canada/ON_Ontario/CAN_ON_Kirkland.Lake.CS.713010_TMYx.2007-2021.zip</v>
      </c>
    </row>
    <row r="1084" spans="1:10" x14ac:dyDescent="0.25">
      <c r="A1084" t="s">
        <v>6</v>
      </c>
      <c r="B1084" t="s">
        <v>130</v>
      </c>
      <c r="C1084" t="s">
        <v>560</v>
      </c>
      <c r="D1084">
        <v>713010</v>
      </c>
      <c r="E1084" t="s">
        <v>10</v>
      </c>
      <c r="F1084">
        <v>48.15</v>
      </c>
      <c r="G1084">
        <v>-80</v>
      </c>
      <c r="H1084">
        <v>-5</v>
      </c>
      <c r="I1084">
        <v>324</v>
      </c>
      <c r="J1084" t="str">
        <f>HYPERLINK("https://climate.onebuilding.org/WMO_Region_4_North_and_Central_America/CAN_Canada/ON_Ontario/CAN_ON_Kirkland.Lake.CS.713010_TMYx.2009-2023.zip")</f>
        <v>https://climate.onebuilding.org/WMO_Region_4_North_and_Central_America/CAN_Canada/ON_Ontario/CAN_ON_Kirkland.Lake.CS.713010_TMYx.2009-2023.zip</v>
      </c>
    </row>
    <row r="1085" spans="1:10" x14ac:dyDescent="0.25">
      <c r="A1085" t="s">
        <v>6</v>
      </c>
      <c r="B1085" t="s">
        <v>130</v>
      </c>
      <c r="C1085" t="s">
        <v>560</v>
      </c>
      <c r="D1085">
        <v>713010</v>
      </c>
      <c r="E1085" t="s">
        <v>10</v>
      </c>
      <c r="F1085">
        <v>48.15</v>
      </c>
      <c r="G1085">
        <v>-80</v>
      </c>
      <c r="H1085">
        <v>-5</v>
      </c>
      <c r="I1085">
        <v>324</v>
      </c>
      <c r="J1085" t="str">
        <f>HYPERLINK("https://climate.onebuilding.org/WMO_Region_4_North_and_Central_America/CAN_Canada/ON_Ontario/CAN_ON_Kirkland.Lake.CS.713010_TMYx.zip")</f>
        <v>https://climate.onebuilding.org/WMO_Region_4_North_and_Central_America/CAN_Canada/ON_Ontario/CAN_ON_Kirkland.Lake.CS.713010_TMYx.zip</v>
      </c>
    </row>
    <row r="1086" spans="1:10" x14ac:dyDescent="0.25">
      <c r="A1086" t="s">
        <v>6</v>
      </c>
      <c r="B1086" t="s">
        <v>130</v>
      </c>
      <c r="C1086" t="s">
        <v>562</v>
      </c>
      <c r="D1086">
        <v>713030</v>
      </c>
      <c r="E1086" t="s">
        <v>563</v>
      </c>
      <c r="F1086">
        <v>41.948599999999999</v>
      </c>
      <c r="G1086">
        <v>-82.518900000000002</v>
      </c>
      <c r="H1086">
        <v>-5</v>
      </c>
      <c r="I1086">
        <v>176.8</v>
      </c>
      <c r="J1086" t="str">
        <f>HYPERLINK("https://climate.onebuilding.org/WMO_Region_4_North_and_Central_America/CAN_Canada/ON_Ontario/CAN_ON_Point.Pelee.Natl.Park.713030_TMYx.2004-2018.zip")</f>
        <v>https://climate.onebuilding.org/WMO_Region_4_North_and_Central_America/CAN_Canada/ON_Ontario/CAN_ON_Point.Pelee.Natl.Park.713030_TMYx.2004-2018.zip</v>
      </c>
    </row>
    <row r="1087" spans="1:10" x14ac:dyDescent="0.25">
      <c r="A1087" t="s">
        <v>6</v>
      </c>
      <c r="B1087" t="s">
        <v>130</v>
      </c>
      <c r="C1087" t="s">
        <v>562</v>
      </c>
      <c r="D1087">
        <v>713030</v>
      </c>
      <c r="E1087" t="s">
        <v>10</v>
      </c>
      <c r="F1087">
        <v>41.948799999999999</v>
      </c>
      <c r="G1087">
        <v>-82.519199999999998</v>
      </c>
      <c r="H1087">
        <v>-5</v>
      </c>
      <c r="I1087">
        <v>176.8</v>
      </c>
      <c r="J1087" t="str">
        <f>HYPERLINK("https://climate.onebuilding.org/WMO_Region_4_North_and_Central_America/CAN_Canada/ON_Ontario/CAN_ON_Point.Pelee.Natl.Park.713030_TMYx.2007-2021.zip")</f>
        <v>https://climate.onebuilding.org/WMO_Region_4_North_and_Central_America/CAN_Canada/ON_Ontario/CAN_ON_Point.Pelee.Natl.Park.713030_TMYx.2007-2021.zip</v>
      </c>
    </row>
    <row r="1088" spans="1:10" x14ac:dyDescent="0.25">
      <c r="A1088" t="s">
        <v>6</v>
      </c>
      <c r="B1088" t="s">
        <v>130</v>
      </c>
      <c r="C1088" t="s">
        <v>562</v>
      </c>
      <c r="D1088">
        <v>713030</v>
      </c>
      <c r="E1088" t="s">
        <v>10</v>
      </c>
      <c r="F1088">
        <v>41.948799999999999</v>
      </c>
      <c r="G1088">
        <v>-82.519199999999998</v>
      </c>
      <c r="H1088">
        <v>-5</v>
      </c>
      <c r="I1088">
        <v>176.8</v>
      </c>
      <c r="J1088" t="str">
        <f>HYPERLINK("https://climate.onebuilding.org/WMO_Region_4_North_and_Central_America/CAN_Canada/ON_Ontario/CAN_ON_Point.Pelee.Natl.Park.713030_TMYx.2009-2023.zip")</f>
        <v>https://climate.onebuilding.org/WMO_Region_4_North_and_Central_America/CAN_Canada/ON_Ontario/CAN_ON_Point.Pelee.Natl.Park.713030_TMYx.2009-2023.zip</v>
      </c>
    </row>
    <row r="1089" spans="1:10" x14ac:dyDescent="0.25">
      <c r="A1089" t="s">
        <v>6</v>
      </c>
      <c r="B1089" t="s">
        <v>130</v>
      </c>
      <c r="C1089" t="s">
        <v>562</v>
      </c>
      <c r="D1089">
        <v>713030</v>
      </c>
      <c r="E1089" t="s">
        <v>10</v>
      </c>
      <c r="F1089">
        <v>41.948799999999999</v>
      </c>
      <c r="G1089">
        <v>-82.519199999999998</v>
      </c>
      <c r="H1089">
        <v>-5</v>
      </c>
      <c r="I1089">
        <v>176.8</v>
      </c>
      <c r="J1089" t="str">
        <f>HYPERLINK("https://climate.onebuilding.org/WMO_Region_4_North_and_Central_America/CAN_Canada/ON_Ontario/CAN_ON_Point.Pelee.Natl.Park.713030_TMYx.zip")</f>
        <v>https://climate.onebuilding.org/WMO_Region_4_North_and_Central_America/CAN_Canada/ON_Ontario/CAN_ON_Point.Pelee.Natl.Park.713030_TMYx.zip</v>
      </c>
    </row>
    <row r="1090" spans="1:10" x14ac:dyDescent="0.25">
      <c r="A1090" t="s">
        <v>6</v>
      </c>
      <c r="B1090" t="s">
        <v>17</v>
      </c>
      <c r="C1090" t="s">
        <v>564</v>
      </c>
      <c r="D1090">
        <v>713040</v>
      </c>
      <c r="E1090" t="s">
        <v>565</v>
      </c>
      <c r="F1090">
        <v>49.4681</v>
      </c>
      <c r="G1090">
        <v>-114.175</v>
      </c>
      <c r="H1090">
        <v>-8</v>
      </c>
      <c r="I1090">
        <v>1257</v>
      </c>
      <c r="J1090" t="str">
        <f>HYPERLINK("https://climate.onebuilding.org/WMO_Region_4_North_and_Central_America/CAN_Canada/AB_Alberta/CAN_AB_Beaver.Mines.713040_TMYx.2004-2018.zip")</f>
        <v>https://climate.onebuilding.org/WMO_Region_4_North_and_Central_America/CAN_Canada/AB_Alberta/CAN_AB_Beaver.Mines.713040_TMYx.2004-2018.zip</v>
      </c>
    </row>
    <row r="1091" spans="1:10" x14ac:dyDescent="0.25">
      <c r="A1091" t="s">
        <v>6</v>
      </c>
      <c r="B1091" t="s">
        <v>17</v>
      </c>
      <c r="C1091" t="s">
        <v>564</v>
      </c>
      <c r="D1091">
        <v>713040</v>
      </c>
      <c r="E1091" t="s">
        <v>10</v>
      </c>
      <c r="F1091">
        <v>49.467799999999997</v>
      </c>
      <c r="G1091">
        <v>-114.175</v>
      </c>
      <c r="H1091">
        <v>-7</v>
      </c>
      <c r="I1091">
        <v>1257</v>
      </c>
      <c r="J1091" t="str">
        <f>HYPERLINK("https://climate.onebuilding.org/WMO_Region_4_North_and_Central_America/CAN_Canada/AB_Alberta/CAN_AB_Beaver.Mines.713040_TMYx.2007-2021.zip")</f>
        <v>https://climate.onebuilding.org/WMO_Region_4_North_and_Central_America/CAN_Canada/AB_Alberta/CAN_AB_Beaver.Mines.713040_TMYx.2007-2021.zip</v>
      </c>
    </row>
    <row r="1092" spans="1:10" x14ac:dyDescent="0.25">
      <c r="A1092" t="s">
        <v>6</v>
      </c>
      <c r="B1092" t="s">
        <v>17</v>
      </c>
      <c r="C1092" t="s">
        <v>564</v>
      </c>
      <c r="D1092">
        <v>713040</v>
      </c>
      <c r="E1092" t="s">
        <v>10</v>
      </c>
      <c r="F1092">
        <v>49.467799999999997</v>
      </c>
      <c r="G1092">
        <v>-114.175</v>
      </c>
      <c r="H1092">
        <v>-7</v>
      </c>
      <c r="I1092">
        <v>1257</v>
      </c>
      <c r="J1092" t="str">
        <f>HYPERLINK("https://climate.onebuilding.org/WMO_Region_4_North_and_Central_America/CAN_Canada/AB_Alberta/CAN_AB_Beaver.Mines.713040_TMYx.2009-2023.zip")</f>
        <v>https://climate.onebuilding.org/WMO_Region_4_North_and_Central_America/CAN_Canada/AB_Alberta/CAN_AB_Beaver.Mines.713040_TMYx.2009-2023.zip</v>
      </c>
    </row>
    <row r="1093" spans="1:10" x14ac:dyDescent="0.25">
      <c r="A1093" t="s">
        <v>6</v>
      </c>
      <c r="B1093" t="s">
        <v>17</v>
      </c>
      <c r="C1093" t="s">
        <v>564</v>
      </c>
      <c r="D1093">
        <v>713040</v>
      </c>
      <c r="E1093" t="s">
        <v>10</v>
      </c>
      <c r="F1093">
        <v>49.467799999999997</v>
      </c>
      <c r="G1093">
        <v>-114.175</v>
      </c>
      <c r="H1093">
        <v>-7</v>
      </c>
      <c r="I1093">
        <v>1257</v>
      </c>
      <c r="J1093" t="str">
        <f>HYPERLINK("https://climate.onebuilding.org/WMO_Region_4_North_and_Central_America/CAN_Canada/AB_Alberta/CAN_AB_Beaver.Mines.713040_TMYx.zip")</f>
        <v>https://climate.onebuilding.org/WMO_Region_4_North_and_Central_America/CAN_Canada/AB_Alberta/CAN_AB_Beaver.Mines.713040_TMYx.zip</v>
      </c>
    </row>
    <row r="1094" spans="1:10" x14ac:dyDescent="0.25">
      <c r="A1094" t="s">
        <v>6</v>
      </c>
      <c r="B1094" t="s">
        <v>130</v>
      </c>
      <c r="C1094" t="s">
        <v>566</v>
      </c>
      <c r="D1094">
        <v>713070</v>
      </c>
      <c r="E1094" t="s">
        <v>567</v>
      </c>
      <c r="F1094">
        <v>42.453609999999998</v>
      </c>
      <c r="G1094">
        <v>-81.886380000000003</v>
      </c>
      <c r="H1094">
        <v>-5</v>
      </c>
      <c r="I1094">
        <v>205.7</v>
      </c>
      <c r="J1094" t="str">
        <f>HYPERLINK("https://climate.onebuilding.org/WMO_Region_4_North_and_Central_America/CAN_Canada/ON_Ontario/CAN_ON_Ridgetown.RCS.713070_TMYx.2004-2018.zip")</f>
        <v>https://climate.onebuilding.org/WMO_Region_4_North_and_Central_America/CAN_Canada/ON_Ontario/CAN_ON_Ridgetown.RCS.713070_TMYx.2004-2018.zip</v>
      </c>
    </row>
    <row r="1095" spans="1:10" x14ac:dyDescent="0.25">
      <c r="A1095" t="s">
        <v>6</v>
      </c>
      <c r="B1095" t="s">
        <v>130</v>
      </c>
      <c r="C1095" t="s">
        <v>566</v>
      </c>
      <c r="D1095">
        <v>713070</v>
      </c>
      <c r="E1095" t="s">
        <v>10</v>
      </c>
      <c r="F1095">
        <v>42.453609999999998</v>
      </c>
      <c r="G1095">
        <v>-81.886380000000003</v>
      </c>
      <c r="H1095">
        <v>-5</v>
      </c>
      <c r="I1095">
        <v>205.7</v>
      </c>
      <c r="J1095" t="str">
        <f>HYPERLINK("https://climate.onebuilding.org/WMO_Region_4_North_and_Central_America/CAN_Canada/ON_Ontario/CAN_ON_Ridgetown.RCS.713070_TMYx.2007-2021.zip")</f>
        <v>https://climate.onebuilding.org/WMO_Region_4_North_and_Central_America/CAN_Canada/ON_Ontario/CAN_ON_Ridgetown.RCS.713070_TMYx.2007-2021.zip</v>
      </c>
    </row>
    <row r="1096" spans="1:10" x14ac:dyDescent="0.25">
      <c r="A1096" t="s">
        <v>6</v>
      </c>
      <c r="B1096" t="s">
        <v>130</v>
      </c>
      <c r="C1096" t="s">
        <v>566</v>
      </c>
      <c r="D1096">
        <v>713070</v>
      </c>
      <c r="E1096" t="s">
        <v>10</v>
      </c>
      <c r="F1096">
        <v>42.453609999999998</v>
      </c>
      <c r="G1096">
        <v>-81.886380000000003</v>
      </c>
      <c r="H1096">
        <v>-5</v>
      </c>
      <c r="I1096">
        <v>205.7</v>
      </c>
      <c r="J1096" t="str">
        <f>HYPERLINK("https://climate.onebuilding.org/WMO_Region_4_North_and_Central_America/CAN_Canada/ON_Ontario/CAN_ON_Ridgetown.RCS.713070_TMYx.2009-2023.zip")</f>
        <v>https://climate.onebuilding.org/WMO_Region_4_North_and_Central_America/CAN_Canada/ON_Ontario/CAN_ON_Ridgetown.RCS.713070_TMYx.2009-2023.zip</v>
      </c>
    </row>
    <row r="1097" spans="1:10" x14ac:dyDescent="0.25">
      <c r="A1097" t="s">
        <v>6</v>
      </c>
      <c r="B1097" t="s">
        <v>130</v>
      </c>
      <c r="C1097" t="s">
        <v>566</v>
      </c>
      <c r="D1097">
        <v>713070</v>
      </c>
      <c r="E1097" t="s">
        <v>10</v>
      </c>
      <c r="F1097">
        <v>42.453609999999998</v>
      </c>
      <c r="G1097">
        <v>-81.886380000000003</v>
      </c>
      <c r="H1097">
        <v>-5</v>
      </c>
      <c r="I1097">
        <v>205.7</v>
      </c>
      <c r="J1097" t="str">
        <f>HYPERLINK("https://climate.onebuilding.org/WMO_Region_4_North_and_Central_America/CAN_Canada/ON_Ontario/CAN_ON_Ridgetown.RCS.713070_TMYx.zip")</f>
        <v>https://climate.onebuilding.org/WMO_Region_4_North_and_Central_America/CAN_Canada/ON_Ontario/CAN_ON_Ridgetown.RCS.713070_TMYx.zip</v>
      </c>
    </row>
    <row r="1098" spans="1:10" x14ac:dyDescent="0.25">
      <c r="A1098" t="s">
        <v>6</v>
      </c>
      <c r="B1098" t="s">
        <v>68</v>
      </c>
      <c r="C1098" t="s">
        <v>568</v>
      </c>
      <c r="D1098">
        <v>713080</v>
      </c>
      <c r="E1098" t="s">
        <v>569</v>
      </c>
      <c r="F1098">
        <v>45.6</v>
      </c>
      <c r="G1098">
        <v>-61.667000000000002</v>
      </c>
      <c r="H1098">
        <v>-4</v>
      </c>
      <c r="I1098">
        <v>67</v>
      </c>
      <c r="J1098" t="str">
        <f>HYPERLINK("https://climate.onebuilding.org/WMO_Region_4_North_and_Central_America/CAN_Canada/NS_Nova_Scotia/CAN_NS_Tracadie.713080_TMYx.2004-2018.zip")</f>
        <v>https://climate.onebuilding.org/WMO_Region_4_North_and_Central_America/CAN_Canada/NS_Nova_Scotia/CAN_NS_Tracadie.713080_TMYx.2004-2018.zip</v>
      </c>
    </row>
    <row r="1099" spans="1:10" x14ac:dyDescent="0.25">
      <c r="A1099" t="s">
        <v>6</v>
      </c>
      <c r="B1099" t="s">
        <v>68</v>
      </c>
      <c r="C1099" t="s">
        <v>568</v>
      </c>
      <c r="D1099">
        <v>713080</v>
      </c>
      <c r="E1099" t="s">
        <v>10</v>
      </c>
      <c r="F1099">
        <v>45.608499999999999</v>
      </c>
      <c r="G1099">
        <v>-61.678800000000003</v>
      </c>
      <c r="H1099">
        <v>-4</v>
      </c>
      <c r="I1099">
        <v>67</v>
      </c>
      <c r="J1099" t="str">
        <f>HYPERLINK("https://climate.onebuilding.org/WMO_Region_4_North_and_Central_America/CAN_Canada/NS_Nova_Scotia/CAN_NS_Tracadie.713080_TMYx.2007-2021.zip")</f>
        <v>https://climate.onebuilding.org/WMO_Region_4_North_and_Central_America/CAN_Canada/NS_Nova_Scotia/CAN_NS_Tracadie.713080_TMYx.2007-2021.zip</v>
      </c>
    </row>
    <row r="1100" spans="1:10" x14ac:dyDescent="0.25">
      <c r="A1100" t="s">
        <v>6</v>
      </c>
      <c r="B1100" t="s">
        <v>68</v>
      </c>
      <c r="C1100" t="s">
        <v>568</v>
      </c>
      <c r="D1100">
        <v>713080</v>
      </c>
      <c r="E1100" t="s">
        <v>10</v>
      </c>
      <c r="F1100">
        <v>45.608499999999999</v>
      </c>
      <c r="G1100">
        <v>-61.678800000000003</v>
      </c>
      <c r="H1100">
        <v>-4</v>
      </c>
      <c r="I1100">
        <v>67</v>
      </c>
      <c r="J1100" t="str">
        <f>HYPERLINK("https://climate.onebuilding.org/WMO_Region_4_North_and_Central_America/CAN_Canada/NS_Nova_Scotia/CAN_NS_Tracadie.713080_TMYx.2009-2023.zip")</f>
        <v>https://climate.onebuilding.org/WMO_Region_4_North_and_Central_America/CAN_Canada/NS_Nova_Scotia/CAN_NS_Tracadie.713080_TMYx.2009-2023.zip</v>
      </c>
    </row>
    <row r="1101" spans="1:10" x14ac:dyDescent="0.25">
      <c r="A1101" t="s">
        <v>6</v>
      </c>
      <c r="B1101" t="s">
        <v>68</v>
      </c>
      <c r="C1101" t="s">
        <v>568</v>
      </c>
      <c r="D1101">
        <v>713080</v>
      </c>
      <c r="E1101" t="s">
        <v>10</v>
      </c>
      <c r="F1101">
        <v>45.608499999999999</v>
      </c>
      <c r="G1101">
        <v>-61.678800000000003</v>
      </c>
      <c r="H1101">
        <v>-4</v>
      </c>
      <c r="I1101">
        <v>67</v>
      </c>
      <c r="J1101" t="str">
        <f>HYPERLINK("https://climate.onebuilding.org/WMO_Region_4_North_and_Central_America/CAN_Canada/NS_Nova_Scotia/CAN_NS_Tracadie.713080_TMYx.zip")</f>
        <v>https://climate.onebuilding.org/WMO_Region_4_North_and_Central_America/CAN_Canada/NS_Nova_Scotia/CAN_NS_Tracadie.713080_TMYx.zip</v>
      </c>
    </row>
    <row r="1102" spans="1:10" x14ac:dyDescent="0.25">
      <c r="A1102" t="s">
        <v>6</v>
      </c>
      <c r="B1102" t="s">
        <v>130</v>
      </c>
      <c r="C1102" t="s">
        <v>570</v>
      </c>
      <c r="D1102">
        <v>713090</v>
      </c>
      <c r="E1102" t="s">
        <v>10</v>
      </c>
      <c r="F1102">
        <v>51.291699999999999</v>
      </c>
      <c r="G1102">
        <v>-80.618099999999998</v>
      </c>
      <c r="H1102">
        <v>-5</v>
      </c>
      <c r="I1102">
        <v>9.1</v>
      </c>
      <c r="J1102" t="str">
        <f>HYPERLINK("https://climate.onebuilding.org/WMO_Region_4_North_and_Central_America/CAN_Canada/ON_Ontario/CAN_ON_Moosonee.RCS.713090_TMYx.2007-2021.zip")</f>
        <v>https://climate.onebuilding.org/WMO_Region_4_North_and_Central_America/CAN_Canada/ON_Ontario/CAN_ON_Moosonee.RCS.713090_TMYx.2007-2021.zip</v>
      </c>
    </row>
    <row r="1103" spans="1:10" x14ac:dyDescent="0.25">
      <c r="A1103" t="s">
        <v>6</v>
      </c>
      <c r="B1103" t="s">
        <v>130</v>
      </c>
      <c r="C1103" t="s">
        <v>570</v>
      </c>
      <c r="D1103">
        <v>713090</v>
      </c>
      <c r="E1103" t="s">
        <v>10</v>
      </c>
      <c r="F1103">
        <v>51.291699999999999</v>
      </c>
      <c r="G1103">
        <v>-80.618099999999998</v>
      </c>
      <c r="H1103">
        <v>-5</v>
      </c>
      <c r="I1103">
        <v>9.1</v>
      </c>
      <c r="J1103" t="str">
        <f>HYPERLINK("https://climate.onebuilding.org/WMO_Region_4_North_and_Central_America/CAN_Canada/ON_Ontario/CAN_ON_Moosonee.RCS.713090_TMYx.2009-2023.zip")</f>
        <v>https://climate.onebuilding.org/WMO_Region_4_North_and_Central_America/CAN_Canada/ON_Ontario/CAN_ON_Moosonee.RCS.713090_TMYx.2009-2023.zip</v>
      </c>
    </row>
    <row r="1104" spans="1:10" x14ac:dyDescent="0.25">
      <c r="A1104" t="s">
        <v>6</v>
      </c>
      <c r="B1104" t="s">
        <v>130</v>
      </c>
      <c r="C1104" t="s">
        <v>570</v>
      </c>
      <c r="D1104">
        <v>713090</v>
      </c>
      <c r="E1104" t="s">
        <v>10</v>
      </c>
      <c r="F1104">
        <v>51.291699999999999</v>
      </c>
      <c r="G1104">
        <v>-80.618099999999998</v>
      </c>
      <c r="H1104">
        <v>-5</v>
      </c>
      <c r="I1104">
        <v>9.1</v>
      </c>
      <c r="J1104" t="str">
        <f>HYPERLINK("https://climate.onebuilding.org/WMO_Region_4_North_and_Central_America/CAN_Canada/ON_Ontario/CAN_ON_Moosonee.RCS.713090_TMYx.zip")</f>
        <v>https://climate.onebuilding.org/WMO_Region_4_North_and_Central_America/CAN_Canada/ON_Ontario/CAN_ON_Moosonee.RCS.713090_TMYx.zip</v>
      </c>
    </row>
    <row r="1105" spans="1:10" x14ac:dyDescent="0.25">
      <c r="A1105" t="s">
        <v>6</v>
      </c>
      <c r="B1105" t="s">
        <v>65</v>
      </c>
      <c r="C1105" t="s">
        <v>571</v>
      </c>
      <c r="D1105">
        <v>713100</v>
      </c>
      <c r="E1105" t="s">
        <v>572</v>
      </c>
      <c r="F1105">
        <v>46.450299999999999</v>
      </c>
      <c r="G1105">
        <v>-62.575800000000001</v>
      </c>
      <c r="H1105">
        <v>-4</v>
      </c>
      <c r="I1105">
        <v>30.4</v>
      </c>
      <c r="J1105" t="str">
        <f>HYPERLINK("https://climate.onebuilding.org/WMO_Region_4_North_and_Central_America/CAN_Canada/PE_Prince_Edward_Island/CAN_PE_St.Peters.Bay.713100_TMYx.2004-2018.zip")</f>
        <v>https://climate.onebuilding.org/WMO_Region_4_North_and_Central_America/CAN_Canada/PE_Prince_Edward_Island/CAN_PE_St.Peters.Bay.713100_TMYx.2004-2018.zip</v>
      </c>
    </row>
    <row r="1106" spans="1:10" x14ac:dyDescent="0.25">
      <c r="A1106" t="s">
        <v>6</v>
      </c>
      <c r="B1106" t="s">
        <v>65</v>
      </c>
      <c r="C1106" t="s">
        <v>571</v>
      </c>
      <c r="D1106">
        <v>713100</v>
      </c>
      <c r="E1106" t="s">
        <v>10</v>
      </c>
      <c r="F1106">
        <v>46.450299999999999</v>
      </c>
      <c r="G1106">
        <v>-62.575800000000001</v>
      </c>
      <c r="H1106">
        <v>-4</v>
      </c>
      <c r="I1106">
        <v>30.4</v>
      </c>
      <c r="J1106" t="str">
        <f>HYPERLINK("https://climate.onebuilding.org/WMO_Region_4_North_and_Central_America/CAN_Canada/PE_Prince_Edward_Island/CAN_PE_St.Peters.Bay.713100_TMYx.2007-2021.zip")</f>
        <v>https://climate.onebuilding.org/WMO_Region_4_North_and_Central_America/CAN_Canada/PE_Prince_Edward_Island/CAN_PE_St.Peters.Bay.713100_TMYx.2007-2021.zip</v>
      </c>
    </row>
    <row r="1107" spans="1:10" x14ac:dyDescent="0.25">
      <c r="A1107" t="s">
        <v>6</v>
      </c>
      <c r="B1107" t="s">
        <v>65</v>
      </c>
      <c r="C1107" t="s">
        <v>571</v>
      </c>
      <c r="D1107">
        <v>713100</v>
      </c>
      <c r="E1107" t="s">
        <v>10</v>
      </c>
      <c r="F1107">
        <v>46.450299999999999</v>
      </c>
      <c r="G1107">
        <v>-62.575800000000001</v>
      </c>
      <c r="H1107">
        <v>-4</v>
      </c>
      <c r="I1107">
        <v>30.4</v>
      </c>
      <c r="J1107" t="str">
        <f>HYPERLINK("https://climate.onebuilding.org/WMO_Region_4_North_and_Central_America/CAN_Canada/PE_Prince_Edward_Island/CAN_PE_St.Peters.Bay.713100_TMYx.2009-2023.zip")</f>
        <v>https://climate.onebuilding.org/WMO_Region_4_North_and_Central_America/CAN_Canada/PE_Prince_Edward_Island/CAN_PE_St.Peters.Bay.713100_TMYx.2009-2023.zip</v>
      </c>
    </row>
    <row r="1108" spans="1:10" x14ac:dyDescent="0.25">
      <c r="A1108" t="s">
        <v>6</v>
      </c>
      <c r="B1108" t="s">
        <v>65</v>
      </c>
      <c r="C1108" t="s">
        <v>571</v>
      </c>
      <c r="D1108">
        <v>713100</v>
      </c>
      <c r="E1108" t="s">
        <v>10</v>
      </c>
      <c r="F1108">
        <v>46.450299999999999</v>
      </c>
      <c r="G1108">
        <v>-62.575800000000001</v>
      </c>
      <c r="H1108">
        <v>-4</v>
      </c>
      <c r="I1108">
        <v>30.4</v>
      </c>
      <c r="J1108" t="str">
        <f>HYPERLINK("https://climate.onebuilding.org/WMO_Region_4_North_and_Central_America/CAN_Canada/PE_Prince_Edward_Island/CAN_PE_St.Peters.Bay.713100_TMYx.zip")</f>
        <v>https://climate.onebuilding.org/WMO_Region_4_North_and_Central_America/CAN_Canada/PE_Prince_Edward_Island/CAN_PE_St.Peters.Bay.713100_TMYx.zip</v>
      </c>
    </row>
    <row r="1109" spans="1:10" x14ac:dyDescent="0.25">
      <c r="A1109" t="s">
        <v>6</v>
      </c>
      <c r="B1109" t="s">
        <v>68</v>
      </c>
      <c r="C1109" t="s">
        <v>573</v>
      </c>
      <c r="D1109">
        <v>713110</v>
      </c>
      <c r="E1109" t="s">
        <v>574</v>
      </c>
      <c r="F1109">
        <v>45.759500000000003</v>
      </c>
      <c r="G1109">
        <v>-64.241399999999999</v>
      </c>
      <c r="H1109">
        <v>-4</v>
      </c>
      <c r="I1109">
        <v>20.8</v>
      </c>
      <c r="J1109" t="str">
        <f>HYPERLINK("https://climate.onebuilding.org/WMO_Region_4_North_and_Central_America/CAN_Canada/NS_Nova_Scotia/CAN_NS_Nappan.713110_TMYx.2004-2018.zip")</f>
        <v>https://climate.onebuilding.org/WMO_Region_4_North_and_Central_America/CAN_Canada/NS_Nova_Scotia/CAN_NS_Nappan.713110_TMYx.2004-2018.zip</v>
      </c>
    </row>
    <row r="1110" spans="1:10" x14ac:dyDescent="0.25">
      <c r="A1110" t="s">
        <v>6</v>
      </c>
      <c r="B1110" t="s">
        <v>68</v>
      </c>
      <c r="C1110" t="s">
        <v>573</v>
      </c>
      <c r="D1110">
        <v>713110</v>
      </c>
      <c r="E1110" t="s">
        <v>10</v>
      </c>
      <c r="F1110">
        <v>45.759500000000003</v>
      </c>
      <c r="G1110">
        <v>-64.241399999999999</v>
      </c>
      <c r="H1110">
        <v>-4</v>
      </c>
      <c r="I1110">
        <v>20.8</v>
      </c>
      <c r="J1110" t="str">
        <f>HYPERLINK("https://climate.onebuilding.org/WMO_Region_4_North_and_Central_America/CAN_Canada/NS_Nova_Scotia/CAN_NS_Nappan.713110_TMYx.2007-2021.zip")</f>
        <v>https://climate.onebuilding.org/WMO_Region_4_North_and_Central_America/CAN_Canada/NS_Nova_Scotia/CAN_NS_Nappan.713110_TMYx.2007-2021.zip</v>
      </c>
    </row>
    <row r="1111" spans="1:10" x14ac:dyDescent="0.25">
      <c r="A1111" t="s">
        <v>6</v>
      </c>
      <c r="B1111" t="s">
        <v>68</v>
      </c>
      <c r="C1111" t="s">
        <v>573</v>
      </c>
      <c r="D1111">
        <v>713110</v>
      </c>
      <c r="E1111" t="s">
        <v>10</v>
      </c>
      <c r="F1111">
        <v>45.759500000000003</v>
      </c>
      <c r="G1111">
        <v>-64.241399999999999</v>
      </c>
      <c r="H1111">
        <v>-4</v>
      </c>
      <c r="I1111">
        <v>20.8</v>
      </c>
      <c r="J1111" t="str">
        <f>HYPERLINK("https://climate.onebuilding.org/WMO_Region_4_North_and_Central_America/CAN_Canada/NS_Nova_Scotia/CAN_NS_Nappan.713110_TMYx.2009-2023.zip")</f>
        <v>https://climate.onebuilding.org/WMO_Region_4_North_and_Central_America/CAN_Canada/NS_Nova_Scotia/CAN_NS_Nappan.713110_TMYx.2009-2023.zip</v>
      </c>
    </row>
    <row r="1112" spans="1:10" x14ac:dyDescent="0.25">
      <c r="A1112" t="s">
        <v>6</v>
      </c>
      <c r="B1112" t="s">
        <v>68</v>
      </c>
      <c r="C1112" t="s">
        <v>573</v>
      </c>
      <c r="D1112">
        <v>713110</v>
      </c>
      <c r="E1112" t="s">
        <v>10</v>
      </c>
      <c r="F1112">
        <v>45.759500000000003</v>
      </c>
      <c r="G1112">
        <v>-64.241399999999999</v>
      </c>
      <c r="H1112">
        <v>-4</v>
      </c>
      <c r="I1112">
        <v>20.8</v>
      </c>
      <c r="J1112" t="str">
        <f>HYPERLINK("https://climate.onebuilding.org/WMO_Region_4_North_and_Central_America/CAN_Canada/NS_Nova_Scotia/CAN_NS_Nappan.713110_TMYx.zip")</f>
        <v>https://climate.onebuilding.org/WMO_Region_4_North_and_Central_America/CAN_Canada/NS_Nova_Scotia/CAN_NS_Nappan.713110_TMYx.zip</v>
      </c>
    </row>
    <row r="1113" spans="1:10" x14ac:dyDescent="0.25">
      <c r="A1113" t="s">
        <v>6</v>
      </c>
      <c r="B1113" t="s">
        <v>58</v>
      </c>
      <c r="C1113" t="s">
        <v>575</v>
      </c>
      <c r="D1113">
        <v>713120</v>
      </c>
      <c r="E1113" t="s">
        <v>576</v>
      </c>
      <c r="F1113">
        <v>53.333300000000001</v>
      </c>
      <c r="G1113">
        <v>-104</v>
      </c>
      <c r="H1113">
        <v>-6</v>
      </c>
      <c r="I1113">
        <v>371.9</v>
      </c>
      <c r="J1113" t="str">
        <f>HYPERLINK("https://climate.onebuilding.org/WMO_Region_4_North_and_Central_America/CAN_Canada/SK_Saskatchewan/CAN_SK_Nipawin.AP.713120_TMYx.2004-2018.zip")</f>
        <v>https://climate.onebuilding.org/WMO_Region_4_North_and_Central_America/CAN_Canada/SK_Saskatchewan/CAN_SK_Nipawin.AP.713120_TMYx.2004-2018.zip</v>
      </c>
    </row>
    <row r="1114" spans="1:10" x14ac:dyDescent="0.25">
      <c r="A1114" t="s">
        <v>6</v>
      </c>
      <c r="B1114" t="s">
        <v>58</v>
      </c>
      <c r="C1114" t="s">
        <v>575</v>
      </c>
      <c r="D1114">
        <v>713120</v>
      </c>
      <c r="E1114" t="s">
        <v>10</v>
      </c>
      <c r="F1114">
        <v>53.333100000000002</v>
      </c>
      <c r="G1114">
        <v>-104.0047</v>
      </c>
      <c r="H1114">
        <v>-6</v>
      </c>
      <c r="I1114">
        <v>371.9</v>
      </c>
      <c r="J1114" t="str">
        <f>HYPERLINK("https://climate.onebuilding.org/WMO_Region_4_North_and_Central_America/CAN_Canada/SK_Saskatchewan/CAN_SK_Nipawin.AP.713120_TMYx.2007-2021.zip")</f>
        <v>https://climate.onebuilding.org/WMO_Region_4_North_and_Central_America/CAN_Canada/SK_Saskatchewan/CAN_SK_Nipawin.AP.713120_TMYx.2007-2021.zip</v>
      </c>
    </row>
    <row r="1115" spans="1:10" x14ac:dyDescent="0.25">
      <c r="A1115" t="s">
        <v>6</v>
      </c>
      <c r="B1115" t="s">
        <v>58</v>
      </c>
      <c r="C1115" t="s">
        <v>575</v>
      </c>
      <c r="D1115">
        <v>713120</v>
      </c>
      <c r="E1115" t="s">
        <v>10</v>
      </c>
      <c r="F1115">
        <v>53.333100000000002</v>
      </c>
      <c r="G1115">
        <v>-104.0047</v>
      </c>
      <c r="H1115">
        <v>-6</v>
      </c>
      <c r="I1115">
        <v>371.9</v>
      </c>
      <c r="J1115" t="str">
        <f>HYPERLINK("https://climate.onebuilding.org/WMO_Region_4_North_and_Central_America/CAN_Canada/SK_Saskatchewan/CAN_SK_Nipawin.AP.713120_TMYx.2009-2023.zip")</f>
        <v>https://climate.onebuilding.org/WMO_Region_4_North_and_Central_America/CAN_Canada/SK_Saskatchewan/CAN_SK_Nipawin.AP.713120_TMYx.2009-2023.zip</v>
      </c>
    </row>
    <row r="1116" spans="1:10" x14ac:dyDescent="0.25">
      <c r="A1116" t="s">
        <v>6</v>
      </c>
      <c r="B1116" t="s">
        <v>58</v>
      </c>
      <c r="C1116" t="s">
        <v>575</v>
      </c>
      <c r="D1116">
        <v>713120</v>
      </c>
      <c r="E1116" t="s">
        <v>10</v>
      </c>
      <c r="F1116">
        <v>53.333100000000002</v>
      </c>
      <c r="G1116">
        <v>-104.0047</v>
      </c>
      <c r="H1116">
        <v>-6</v>
      </c>
      <c r="I1116">
        <v>371.9</v>
      </c>
      <c r="J1116" t="str">
        <f>HYPERLINK("https://climate.onebuilding.org/WMO_Region_4_North_and_Central_America/CAN_Canada/SK_Saskatchewan/CAN_SK_Nipawin.AP.713120_TMYx.zip")</f>
        <v>https://climate.onebuilding.org/WMO_Region_4_North_and_Central_America/CAN_Canada/SK_Saskatchewan/CAN_SK_Nipawin.AP.713120_TMYx.zip</v>
      </c>
    </row>
    <row r="1117" spans="1:10" x14ac:dyDescent="0.25">
      <c r="A1117" t="s">
        <v>6</v>
      </c>
      <c r="B1117" t="s">
        <v>130</v>
      </c>
      <c r="C1117" t="s">
        <v>577</v>
      </c>
      <c r="D1117">
        <v>713140</v>
      </c>
      <c r="E1117" t="s">
        <v>578</v>
      </c>
      <c r="F1117">
        <v>44.484400000000001</v>
      </c>
      <c r="G1117">
        <v>-79.546400000000006</v>
      </c>
      <c r="H1117">
        <v>-5</v>
      </c>
      <c r="I1117">
        <v>289</v>
      </c>
      <c r="J1117" t="str">
        <f>HYPERLINK("https://climate.onebuilding.org/WMO_Region_4_North_and_Central_America/CAN_Canada/ON_Ontario/CAN_ON_Barrie-Lake.Simcoe.Rgnl.AP.713140_TMYx.2004-2018.zip")</f>
        <v>https://climate.onebuilding.org/WMO_Region_4_North_and_Central_America/CAN_Canada/ON_Ontario/CAN_ON_Barrie-Lake.Simcoe.Rgnl.AP.713140_TMYx.2004-2018.zip</v>
      </c>
    </row>
    <row r="1118" spans="1:10" x14ac:dyDescent="0.25">
      <c r="A1118" t="s">
        <v>6</v>
      </c>
      <c r="B1118" t="s">
        <v>130</v>
      </c>
      <c r="C1118" t="s">
        <v>577</v>
      </c>
      <c r="D1118">
        <v>713140</v>
      </c>
      <c r="E1118" t="s">
        <v>10</v>
      </c>
      <c r="F1118">
        <v>44.484400000000001</v>
      </c>
      <c r="G1118">
        <v>-79.546400000000006</v>
      </c>
      <c r="H1118">
        <v>-5</v>
      </c>
      <c r="I1118">
        <v>289</v>
      </c>
      <c r="J1118" t="str">
        <f>HYPERLINK("https://climate.onebuilding.org/WMO_Region_4_North_and_Central_America/CAN_Canada/ON_Ontario/CAN_ON_Barrie-Lake.Simcoe.Rgnl.AP.713140_TMYx.2007-2021.zip")</f>
        <v>https://climate.onebuilding.org/WMO_Region_4_North_and_Central_America/CAN_Canada/ON_Ontario/CAN_ON_Barrie-Lake.Simcoe.Rgnl.AP.713140_TMYx.2007-2021.zip</v>
      </c>
    </row>
    <row r="1119" spans="1:10" x14ac:dyDescent="0.25">
      <c r="A1119" t="s">
        <v>6</v>
      </c>
      <c r="B1119" t="s">
        <v>130</v>
      </c>
      <c r="C1119" t="s">
        <v>577</v>
      </c>
      <c r="D1119">
        <v>713140</v>
      </c>
      <c r="E1119" t="s">
        <v>10</v>
      </c>
      <c r="F1119">
        <v>44.484400000000001</v>
      </c>
      <c r="G1119">
        <v>-79.546400000000006</v>
      </c>
      <c r="H1119">
        <v>-5</v>
      </c>
      <c r="I1119">
        <v>289</v>
      </c>
      <c r="J1119" t="str">
        <f>HYPERLINK("https://climate.onebuilding.org/WMO_Region_4_North_and_Central_America/CAN_Canada/ON_Ontario/CAN_ON_Barrie-Lake.Simcoe.Rgnl.AP.713140_TMYx.2009-2023.zip")</f>
        <v>https://climate.onebuilding.org/WMO_Region_4_North_and_Central_America/CAN_Canada/ON_Ontario/CAN_ON_Barrie-Lake.Simcoe.Rgnl.AP.713140_TMYx.2009-2023.zip</v>
      </c>
    </row>
    <row r="1120" spans="1:10" x14ac:dyDescent="0.25">
      <c r="A1120" t="s">
        <v>6</v>
      </c>
      <c r="B1120" t="s">
        <v>130</v>
      </c>
      <c r="C1120" t="s">
        <v>577</v>
      </c>
      <c r="D1120">
        <v>713140</v>
      </c>
      <c r="E1120" t="s">
        <v>10</v>
      </c>
      <c r="F1120">
        <v>44.484400000000001</v>
      </c>
      <c r="G1120">
        <v>-79.546400000000006</v>
      </c>
      <c r="H1120">
        <v>-5</v>
      </c>
      <c r="I1120">
        <v>289</v>
      </c>
      <c r="J1120" t="str">
        <f>HYPERLINK("https://climate.onebuilding.org/WMO_Region_4_North_and_Central_America/CAN_Canada/ON_Ontario/CAN_ON_Barrie-Lake.Simcoe.Rgnl.AP.713140_TMYx.zip")</f>
        <v>https://climate.onebuilding.org/WMO_Region_4_North_and_Central_America/CAN_Canada/ON_Ontario/CAN_ON_Barrie-Lake.Simcoe.Rgnl.AP.713140_TMYx.zip</v>
      </c>
    </row>
    <row r="1121" spans="1:10" x14ac:dyDescent="0.25">
      <c r="A1121" t="s">
        <v>6</v>
      </c>
      <c r="B1121" t="s">
        <v>45</v>
      </c>
      <c r="C1121" t="s">
        <v>579</v>
      </c>
      <c r="D1121">
        <v>713150</v>
      </c>
      <c r="E1121" t="s">
        <v>580</v>
      </c>
      <c r="F1121">
        <v>47.99</v>
      </c>
      <c r="G1121">
        <v>-66.334199999999996</v>
      </c>
      <c r="H1121">
        <v>-4</v>
      </c>
      <c r="I1121">
        <v>42</v>
      </c>
      <c r="J1121" t="str">
        <f>HYPERLINK("https://climate.onebuilding.org/WMO_Region_4_North_and_Central_America/CAN_Canada/NB_New_Brunswick/CAN_NB_Charlo.AP.713150_TMYx.2004-2018.zip")</f>
        <v>https://climate.onebuilding.org/WMO_Region_4_North_and_Central_America/CAN_Canada/NB_New_Brunswick/CAN_NB_Charlo.AP.713150_TMYx.2004-2018.zip</v>
      </c>
    </row>
    <row r="1122" spans="1:10" x14ac:dyDescent="0.25">
      <c r="A1122" t="s">
        <v>6</v>
      </c>
      <c r="B1122" t="s">
        <v>45</v>
      </c>
      <c r="C1122" t="s">
        <v>579</v>
      </c>
      <c r="D1122">
        <v>713150</v>
      </c>
      <c r="E1122" t="s">
        <v>10</v>
      </c>
      <c r="F1122">
        <v>47.988900000000001</v>
      </c>
      <c r="G1122">
        <v>-66.333600000000004</v>
      </c>
      <c r="H1122">
        <v>-4</v>
      </c>
      <c r="I1122">
        <v>42</v>
      </c>
      <c r="J1122" t="str">
        <f>HYPERLINK("https://climate.onebuilding.org/WMO_Region_4_North_and_Central_America/CAN_Canada/NB_New_Brunswick/CAN_NB_Charlo.AP.713150_TMYx.2007-2021.zip")</f>
        <v>https://climate.onebuilding.org/WMO_Region_4_North_and_Central_America/CAN_Canada/NB_New_Brunswick/CAN_NB_Charlo.AP.713150_TMYx.2007-2021.zip</v>
      </c>
    </row>
    <row r="1123" spans="1:10" x14ac:dyDescent="0.25">
      <c r="A1123" t="s">
        <v>6</v>
      </c>
      <c r="B1123" t="s">
        <v>45</v>
      </c>
      <c r="C1123" t="s">
        <v>579</v>
      </c>
      <c r="D1123">
        <v>713150</v>
      </c>
      <c r="E1123" t="s">
        <v>10</v>
      </c>
      <c r="F1123">
        <v>47.988900000000001</v>
      </c>
      <c r="G1123">
        <v>-66.333600000000004</v>
      </c>
      <c r="H1123">
        <v>-4</v>
      </c>
      <c r="I1123">
        <v>42</v>
      </c>
      <c r="J1123" t="str">
        <f>HYPERLINK("https://climate.onebuilding.org/WMO_Region_4_North_and_Central_America/CAN_Canada/NB_New_Brunswick/CAN_NB_Charlo.AP.713150_TMYx.2009-2023.zip")</f>
        <v>https://climate.onebuilding.org/WMO_Region_4_North_and_Central_America/CAN_Canada/NB_New_Brunswick/CAN_NB_Charlo.AP.713150_TMYx.2009-2023.zip</v>
      </c>
    </row>
    <row r="1124" spans="1:10" x14ac:dyDescent="0.25">
      <c r="A1124" t="s">
        <v>6</v>
      </c>
      <c r="B1124" t="s">
        <v>45</v>
      </c>
      <c r="C1124" t="s">
        <v>579</v>
      </c>
      <c r="D1124">
        <v>713150</v>
      </c>
      <c r="E1124" t="s">
        <v>10</v>
      </c>
      <c r="F1124">
        <v>47.988900000000001</v>
      </c>
      <c r="G1124">
        <v>-66.333600000000004</v>
      </c>
      <c r="H1124">
        <v>-4</v>
      </c>
      <c r="I1124">
        <v>42</v>
      </c>
      <c r="J1124" t="str">
        <f>HYPERLINK("https://climate.onebuilding.org/WMO_Region_4_North_and_Central_America/CAN_Canada/NB_New_Brunswick/CAN_NB_Charlo.AP.713150_TMYx.zip")</f>
        <v>https://climate.onebuilding.org/WMO_Region_4_North_and_Central_America/CAN_Canada/NB_New_Brunswick/CAN_NB_Charlo.AP.713150_TMYx.zip</v>
      </c>
    </row>
    <row r="1125" spans="1:10" x14ac:dyDescent="0.25">
      <c r="A1125" t="s">
        <v>6</v>
      </c>
      <c r="B1125" t="s">
        <v>17</v>
      </c>
      <c r="C1125" t="s">
        <v>581</v>
      </c>
      <c r="D1125">
        <v>713160</v>
      </c>
      <c r="E1125" t="s">
        <v>582</v>
      </c>
      <c r="F1125">
        <v>54.768900000000002</v>
      </c>
      <c r="G1125">
        <v>-112.0236</v>
      </c>
      <c r="H1125">
        <v>-7</v>
      </c>
      <c r="I1125">
        <v>567</v>
      </c>
      <c r="J1125" t="str">
        <f>HYPERLINK("https://climate.onebuilding.org/WMO_Region_4_North_and_Central_America/CAN_Canada/AB_Alberta/CAN_AB_Lac.la.Biche.AP.713160_TMYx.2004-2018.zip")</f>
        <v>https://climate.onebuilding.org/WMO_Region_4_North_and_Central_America/CAN_Canada/AB_Alberta/CAN_AB_Lac.la.Biche.AP.713160_TMYx.2004-2018.zip</v>
      </c>
    </row>
    <row r="1126" spans="1:10" x14ac:dyDescent="0.25">
      <c r="A1126" t="s">
        <v>6</v>
      </c>
      <c r="B1126" t="s">
        <v>17</v>
      </c>
      <c r="C1126" t="s">
        <v>581</v>
      </c>
      <c r="D1126">
        <v>713160</v>
      </c>
      <c r="E1126" t="s">
        <v>10</v>
      </c>
      <c r="F1126">
        <v>54.768900000000002</v>
      </c>
      <c r="G1126">
        <v>-112.0236</v>
      </c>
      <c r="H1126">
        <v>-7</v>
      </c>
      <c r="I1126">
        <v>567</v>
      </c>
      <c r="J1126" t="str">
        <f>HYPERLINK("https://climate.onebuilding.org/WMO_Region_4_North_and_Central_America/CAN_Canada/AB_Alberta/CAN_AB_Lac.la.Biche.AP.713160_TMYx.2007-2021.zip")</f>
        <v>https://climate.onebuilding.org/WMO_Region_4_North_and_Central_America/CAN_Canada/AB_Alberta/CAN_AB_Lac.la.Biche.AP.713160_TMYx.2007-2021.zip</v>
      </c>
    </row>
    <row r="1127" spans="1:10" x14ac:dyDescent="0.25">
      <c r="A1127" t="s">
        <v>6</v>
      </c>
      <c r="B1127" t="s">
        <v>17</v>
      </c>
      <c r="C1127" t="s">
        <v>581</v>
      </c>
      <c r="D1127">
        <v>713160</v>
      </c>
      <c r="E1127" t="s">
        <v>10</v>
      </c>
      <c r="F1127">
        <v>54.768900000000002</v>
      </c>
      <c r="G1127">
        <v>-112.0236</v>
      </c>
      <c r="H1127">
        <v>-7</v>
      </c>
      <c r="I1127">
        <v>567</v>
      </c>
      <c r="J1127" t="str">
        <f>HYPERLINK("https://climate.onebuilding.org/WMO_Region_4_North_and_Central_America/CAN_Canada/AB_Alberta/CAN_AB_Lac.la.Biche.AP.713160_TMYx.2009-2023.zip")</f>
        <v>https://climate.onebuilding.org/WMO_Region_4_North_and_Central_America/CAN_Canada/AB_Alberta/CAN_AB_Lac.la.Biche.AP.713160_TMYx.2009-2023.zip</v>
      </c>
    </row>
    <row r="1128" spans="1:10" x14ac:dyDescent="0.25">
      <c r="A1128" t="s">
        <v>6</v>
      </c>
      <c r="B1128" t="s">
        <v>17</v>
      </c>
      <c r="C1128" t="s">
        <v>581</v>
      </c>
      <c r="D1128">
        <v>713160</v>
      </c>
      <c r="E1128" t="s">
        <v>10</v>
      </c>
      <c r="F1128">
        <v>54.768900000000002</v>
      </c>
      <c r="G1128">
        <v>-112.0236</v>
      </c>
      <c r="H1128">
        <v>-7</v>
      </c>
      <c r="I1128">
        <v>567</v>
      </c>
      <c r="J1128" t="str">
        <f>HYPERLINK("https://climate.onebuilding.org/WMO_Region_4_North_and_Central_America/CAN_Canada/AB_Alberta/CAN_AB_Lac.la.Biche.AP.713160_TMYx.zip")</f>
        <v>https://climate.onebuilding.org/WMO_Region_4_North_and_Central_America/CAN_Canada/AB_Alberta/CAN_AB_Lac.la.Biche.AP.713160_TMYx.zip</v>
      </c>
    </row>
    <row r="1129" spans="1:10" x14ac:dyDescent="0.25">
      <c r="A1129" t="s">
        <v>6</v>
      </c>
      <c r="B1129" t="s">
        <v>68</v>
      </c>
      <c r="C1129" t="s">
        <v>583</v>
      </c>
      <c r="D1129">
        <v>713170</v>
      </c>
      <c r="E1129" t="s">
        <v>584</v>
      </c>
      <c r="F1129">
        <v>45.416699999999999</v>
      </c>
      <c r="G1129">
        <v>-63.466700000000003</v>
      </c>
      <c r="H1129">
        <v>-4</v>
      </c>
      <c r="I1129">
        <v>38.6</v>
      </c>
      <c r="J1129" t="str">
        <f>HYPERLINK("https://climate.onebuilding.org/WMO_Region_4_North_and_Central_America/CAN_Canada/NS_Nova_Scotia/CAN_NS_Debert.AP.713170_TMYx.2004-2018.zip")</f>
        <v>https://climate.onebuilding.org/WMO_Region_4_North_and_Central_America/CAN_Canada/NS_Nova_Scotia/CAN_NS_Debert.AP.713170_TMYx.2004-2018.zip</v>
      </c>
    </row>
    <row r="1130" spans="1:10" x14ac:dyDescent="0.25">
      <c r="A1130" t="s">
        <v>6</v>
      </c>
      <c r="B1130" t="s">
        <v>68</v>
      </c>
      <c r="C1130" t="s">
        <v>583</v>
      </c>
      <c r="D1130">
        <v>713170</v>
      </c>
      <c r="E1130" t="s">
        <v>10</v>
      </c>
      <c r="F1130">
        <v>45.421500000000002</v>
      </c>
      <c r="G1130">
        <v>-63.465800000000002</v>
      </c>
      <c r="H1130">
        <v>-4</v>
      </c>
      <c r="I1130">
        <v>38.6</v>
      </c>
      <c r="J1130" t="str">
        <f>HYPERLINK("https://climate.onebuilding.org/WMO_Region_4_North_and_Central_America/CAN_Canada/NS_Nova_Scotia/CAN_NS_Debert.AP.713170_TMYx.2007-2021.zip")</f>
        <v>https://climate.onebuilding.org/WMO_Region_4_North_and_Central_America/CAN_Canada/NS_Nova_Scotia/CAN_NS_Debert.AP.713170_TMYx.2007-2021.zip</v>
      </c>
    </row>
    <row r="1131" spans="1:10" x14ac:dyDescent="0.25">
      <c r="A1131" t="s">
        <v>6</v>
      </c>
      <c r="B1131" t="s">
        <v>68</v>
      </c>
      <c r="C1131" t="s">
        <v>583</v>
      </c>
      <c r="D1131">
        <v>713170</v>
      </c>
      <c r="E1131" t="s">
        <v>10</v>
      </c>
      <c r="F1131">
        <v>45.421500000000002</v>
      </c>
      <c r="G1131">
        <v>-63.465800000000002</v>
      </c>
      <c r="H1131">
        <v>-4</v>
      </c>
      <c r="I1131">
        <v>38.6</v>
      </c>
      <c r="J1131" t="str">
        <f>HYPERLINK("https://climate.onebuilding.org/WMO_Region_4_North_and_Central_America/CAN_Canada/NS_Nova_Scotia/CAN_NS_Debert.AP.713170_TMYx.2009-2023.zip")</f>
        <v>https://climate.onebuilding.org/WMO_Region_4_North_and_Central_America/CAN_Canada/NS_Nova_Scotia/CAN_NS_Debert.AP.713170_TMYx.2009-2023.zip</v>
      </c>
    </row>
    <row r="1132" spans="1:10" x14ac:dyDescent="0.25">
      <c r="A1132" t="s">
        <v>6</v>
      </c>
      <c r="B1132" t="s">
        <v>68</v>
      </c>
      <c r="C1132" t="s">
        <v>583</v>
      </c>
      <c r="D1132">
        <v>713170</v>
      </c>
      <c r="E1132" t="s">
        <v>10</v>
      </c>
      <c r="F1132">
        <v>45.421500000000002</v>
      </c>
      <c r="G1132">
        <v>-63.465800000000002</v>
      </c>
      <c r="H1132">
        <v>-4</v>
      </c>
      <c r="I1132">
        <v>38.6</v>
      </c>
      <c r="J1132" t="str">
        <f>HYPERLINK("https://climate.onebuilding.org/WMO_Region_4_North_and_Central_America/CAN_Canada/NS_Nova_Scotia/CAN_NS_Debert.AP.713170_TMYx.zip")</f>
        <v>https://climate.onebuilding.org/WMO_Region_4_North_and_Central_America/CAN_Canada/NS_Nova_Scotia/CAN_NS_Debert.AP.713170_TMYx.zip</v>
      </c>
    </row>
    <row r="1133" spans="1:10" x14ac:dyDescent="0.25">
      <c r="A1133" t="s">
        <v>6</v>
      </c>
      <c r="B1133" t="s">
        <v>17</v>
      </c>
      <c r="C1133" t="s">
        <v>585</v>
      </c>
      <c r="D1133">
        <v>713180</v>
      </c>
      <c r="E1133" t="s">
        <v>586</v>
      </c>
      <c r="F1133">
        <v>52.067</v>
      </c>
      <c r="G1133">
        <v>-111.43300000000001</v>
      </c>
      <c r="H1133">
        <v>-7</v>
      </c>
      <c r="I1133">
        <v>791</v>
      </c>
      <c r="J1133" t="str">
        <f>HYPERLINK("https://climate.onebuilding.org/WMO_Region_4_North_and_Central_America/CAN_Canada/AB_Alberta/CAN_AB_Coronation.AP.713180_TMYx.2004-2018.zip")</f>
        <v>https://climate.onebuilding.org/WMO_Region_4_North_and_Central_America/CAN_Canada/AB_Alberta/CAN_AB_Coronation.AP.713180_TMYx.2004-2018.zip</v>
      </c>
    </row>
    <row r="1134" spans="1:10" x14ac:dyDescent="0.25">
      <c r="A1134" t="s">
        <v>6</v>
      </c>
      <c r="B1134" t="s">
        <v>17</v>
      </c>
      <c r="C1134" t="s">
        <v>585</v>
      </c>
      <c r="D1134">
        <v>713180</v>
      </c>
      <c r="E1134" t="s">
        <v>10</v>
      </c>
      <c r="F1134">
        <v>52.074170000000002</v>
      </c>
      <c r="G1134">
        <v>-111.4494</v>
      </c>
      <c r="H1134">
        <v>-7</v>
      </c>
      <c r="I1134">
        <v>791</v>
      </c>
      <c r="J1134" t="str">
        <f>HYPERLINK("https://climate.onebuilding.org/WMO_Region_4_North_and_Central_America/CAN_Canada/AB_Alberta/CAN_AB_Coronation.AP.713180_TMYx.2007-2021.zip")</f>
        <v>https://climate.onebuilding.org/WMO_Region_4_North_and_Central_America/CAN_Canada/AB_Alberta/CAN_AB_Coronation.AP.713180_TMYx.2007-2021.zip</v>
      </c>
    </row>
    <row r="1135" spans="1:10" x14ac:dyDescent="0.25">
      <c r="A1135" t="s">
        <v>6</v>
      </c>
      <c r="B1135" t="s">
        <v>17</v>
      </c>
      <c r="C1135" t="s">
        <v>585</v>
      </c>
      <c r="D1135">
        <v>713180</v>
      </c>
      <c r="E1135" t="s">
        <v>10</v>
      </c>
      <c r="F1135">
        <v>52.074170000000002</v>
      </c>
      <c r="G1135">
        <v>-111.4494</v>
      </c>
      <c r="H1135">
        <v>-7</v>
      </c>
      <c r="I1135">
        <v>791</v>
      </c>
      <c r="J1135" t="str">
        <f>HYPERLINK("https://climate.onebuilding.org/WMO_Region_4_North_and_Central_America/CAN_Canada/AB_Alberta/CAN_AB_Coronation.AP.713180_TMYx.2009-2023.zip")</f>
        <v>https://climate.onebuilding.org/WMO_Region_4_North_and_Central_America/CAN_Canada/AB_Alberta/CAN_AB_Coronation.AP.713180_TMYx.2009-2023.zip</v>
      </c>
    </row>
    <row r="1136" spans="1:10" x14ac:dyDescent="0.25">
      <c r="A1136" t="s">
        <v>6</v>
      </c>
      <c r="B1136" t="s">
        <v>17</v>
      </c>
      <c r="C1136" t="s">
        <v>585</v>
      </c>
      <c r="D1136">
        <v>713180</v>
      </c>
      <c r="E1136" t="s">
        <v>10</v>
      </c>
      <c r="F1136">
        <v>52.074170000000002</v>
      </c>
      <c r="G1136">
        <v>-111.4494</v>
      </c>
      <c r="H1136">
        <v>-7</v>
      </c>
      <c r="I1136">
        <v>791</v>
      </c>
      <c r="J1136" t="str">
        <f>HYPERLINK("https://climate.onebuilding.org/WMO_Region_4_North_and_Central_America/CAN_Canada/AB_Alberta/CAN_AB_Coronation.AP.713180_TMYx.zip")</f>
        <v>https://climate.onebuilding.org/WMO_Region_4_North_and_Central_America/CAN_Canada/AB_Alberta/CAN_AB_Coronation.AP.713180_TMYx.zip</v>
      </c>
    </row>
    <row r="1137" spans="1:10" x14ac:dyDescent="0.25">
      <c r="A1137" t="s">
        <v>6</v>
      </c>
      <c r="B1137" t="s">
        <v>14</v>
      </c>
      <c r="C1137" t="s">
        <v>587</v>
      </c>
      <c r="D1137">
        <v>713190</v>
      </c>
      <c r="E1137" t="s">
        <v>588</v>
      </c>
      <c r="F1137">
        <v>47.284199999999998</v>
      </c>
      <c r="G1137">
        <v>-70.637500000000003</v>
      </c>
      <c r="H1137">
        <v>-5</v>
      </c>
      <c r="I1137">
        <v>722.7</v>
      </c>
      <c r="J1137" t="str">
        <f>HYPERLINK("https://climate.onebuilding.org/WMO_Region_4_North_and_Central_America/CAN_Canada/QC_Quebec/CAN_QC_Le.Massif.de.Charlevoix.Ski.Resort.713190_TMYx.2004-2018.zip")</f>
        <v>https://climate.onebuilding.org/WMO_Region_4_North_and_Central_America/CAN_Canada/QC_Quebec/CAN_QC_Le.Massif.de.Charlevoix.Ski.Resort.713190_TMYx.2004-2018.zip</v>
      </c>
    </row>
    <row r="1138" spans="1:10" x14ac:dyDescent="0.25">
      <c r="A1138" t="s">
        <v>6</v>
      </c>
      <c r="B1138" t="s">
        <v>14</v>
      </c>
      <c r="C1138" t="s">
        <v>587</v>
      </c>
      <c r="D1138">
        <v>713190</v>
      </c>
      <c r="E1138" t="s">
        <v>10</v>
      </c>
      <c r="F1138">
        <v>47.283999999999999</v>
      </c>
      <c r="G1138">
        <v>-70.637200000000007</v>
      </c>
      <c r="H1138">
        <v>-5</v>
      </c>
      <c r="I1138">
        <v>722.7</v>
      </c>
      <c r="J1138" t="str">
        <f>HYPERLINK("https://climate.onebuilding.org/WMO_Region_4_North_and_Central_America/CAN_Canada/QC_Quebec/CAN_QC_Le.Massif.de.Charlevoix.Ski.Resort.713190_TMYx.2007-2021.zip")</f>
        <v>https://climate.onebuilding.org/WMO_Region_4_North_and_Central_America/CAN_Canada/QC_Quebec/CAN_QC_Le.Massif.de.Charlevoix.Ski.Resort.713190_TMYx.2007-2021.zip</v>
      </c>
    </row>
    <row r="1139" spans="1:10" x14ac:dyDescent="0.25">
      <c r="A1139" t="s">
        <v>6</v>
      </c>
      <c r="B1139" t="s">
        <v>14</v>
      </c>
      <c r="C1139" t="s">
        <v>587</v>
      </c>
      <c r="D1139">
        <v>713190</v>
      </c>
      <c r="E1139" t="s">
        <v>10</v>
      </c>
      <c r="F1139">
        <v>47.283999999999999</v>
      </c>
      <c r="G1139">
        <v>-70.637200000000007</v>
      </c>
      <c r="H1139">
        <v>-5</v>
      </c>
      <c r="I1139">
        <v>722.7</v>
      </c>
      <c r="J1139" t="str">
        <f>HYPERLINK("https://climate.onebuilding.org/WMO_Region_4_North_and_Central_America/CAN_Canada/QC_Quebec/CAN_QC_Le.Massif.de.Charlevoix.Ski.Resort.713190_TMYx.2009-2023.zip")</f>
        <v>https://climate.onebuilding.org/WMO_Region_4_North_and_Central_America/CAN_Canada/QC_Quebec/CAN_QC_Le.Massif.de.Charlevoix.Ski.Resort.713190_TMYx.2009-2023.zip</v>
      </c>
    </row>
    <row r="1140" spans="1:10" x14ac:dyDescent="0.25">
      <c r="A1140" t="s">
        <v>6</v>
      </c>
      <c r="B1140" t="s">
        <v>14</v>
      </c>
      <c r="C1140" t="s">
        <v>587</v>
      </c>
      <c r="D1140">
        <v>713190</v>
      </c>
      <c r="E1140" t="s">
        <v>10</v>
      </c>
      <c r="F1140">
        <v>47.283999999999999</v>
      </c>
      <c r="G1140">
        <v>-70.637200000000007</v>
      </c>
      <c r="H1140">
        <v>-5</v>
      </c>
      <c r="I1140">
        <v>722.7</v>
      </c>
      <c r="J1140" t="str">
        <f>HYPERLINK("https://climate.onebuilding.org/WMO_Region_4_North_and_Central_America/CAN_Canada/QC_Quebec/CAN_QC_Le.Massif.de.Charlevoix.Ski.Resort.713190_TMYx.zip")</f>
        <v>https://climate.onebuilding.org/WMO_Region_4_North_and_Central_America/CAN_Canada/QC_Quebec/CAN_QC_Le.Massif.de.Charlevoix.Ski.Resort.713190_TMYx.zip</v>
      </c>
    </row>
    <row r="1141" spans="1:10" x14ac:dyDescent="0.25">
      <c r="A1141" t="s">
        <v>6</v>
      </c>
      <c r="B1141" t="s">
        <v>42</v>
      </c>
      <c r="C1141" t="s">
        <v>589</v>
      </c>
      <c r="D1141">
        <v>713200</v>
      </c>
      <c r="E1141" t="s">
        <v>590</v>
      </c>
      <c r="F1141">
        <v>68.7761</v>
      </c>
      <c r="G1141">
        <v>-81.243600000000001</v>
      </c>
      <c r="H1141">
        <v>-5</v>
      </c>
      <c r="I1141">
        <v>8.1999999999999993</v>
      </c>
      <c r="J1141" t="str">
        <f>HYPERLINK("https://climate.onebuilding.org/WMO_Region_4_North_and_Central_America/CAN_Canada/NU_Nunavut/CAN_NU_Hall.Beach.AP.713200_TMYx.2004-2018.zip")</f>
        <v>https://climate.onebuilding.org/WMO_Region_4_North_and_Central_America/CAN_Canada/NU_Nunavut/CAN_NU_Hall.Beach.AP.713200_TMYx.2004-2018.zip</v>
      </c>
    </row>
    <row r="1142" spans="1:10" x14ac:dyDescent="0.25">
      <c r="A1142" t="s">
        <v>6</v>
      </c>
      <c r="B1142" t="s">
        <v>42</v>
      </c>
      <c r="C1142" t="s">
        <v>589</v>
      </c>
      <c r="D1142">
        <v>713200</v>
      </c>
      <c r="E1142" t="s">
        <v>10</v>
      </c>
      <c r="F1142">
        <v>68.7761</v>
      </c>
      <c r="G1142">
        <v>-81.243600000000001</v>
      </c>
      <c r="H1142">
        <v>-5</v>
      </c>
      <c r="I1142">
        <v>8.1999999999999993</v>
      </c>
      <c r="J1142" t="str">
        <f>HYPERLINK("https://climate.onebuilding.org/WMO_Region_4_North_and_Central_America/CAN_Canada/NU_Nunavut/CAN_NU_Hall.Beach.AP.713200_TMYx.2007-2021.zip")</f>
        <v>https://climate.onebuilding.org/WMO_Region_4_North_and_Central_America/CAN_Canada/NU_Nunavut/CAN_NU_Hall.Beach.AP.713200_TMYx.2007-2021.zip</v>
      </c>
    </row>
    <row r="1143" spans="1:10" x14ac:dyDescent="0.25">
      <c r="A1143" t="s">
        <v>6</v>
      </c>
      <c r="B1143" t="s">
        <v>42</v>
      </c>
      <c r="C1143" t="s">
        <v>589</v>
      </c>
      <c r="D1143">
        <v>713200</v>
      </c>
      <c r="E1143" t="s">
        <v>10</v>
      </c>
      <c r="F1143">
        <v>68.7761</v>
      </c>
      <c r="G1143">
        <v>-81.243600000000001</v>
      </c>
      <c r="H1143">
        <v>-5</v>
      </c>
      <c r="I1143">
        <v>8.1999999999999993</v>
      </c>
      <c r="J1143" t="str">
        <f>HYPERLINK("https://climate.onebuilding.org/WMO_Region_4_North_and_Central_America/CAN_Canada/NU_Nunavut/CAN_NU_Hall.Beach.AP.713200_TMYx.2009-2023.zip")</f>
        <v>https://climate.onebuilding.org/WMO_Region_4_North_and_Central_America/CAN_Canada/NU_Nunavut/CAN_NU_Hall.Beach.AP.713200_TMYx.2009-2023.zip</v>
      </c>
    </row>
    <row r="1144" spans="1:10" x14ac:dyDescent="0.25">
      <c r="A1144" t="s">
        <v>6</v>
      </c>
      <c r="B1144" t="s">
        <v>42</v>
      </c>
      <c r="C1144" t="s">
        <v>589</v>
      </c>
      <c r="D1144">
        <v>713200</v>
      </c>
      <c r="E1144" t="s">
        <v>10</v>
      </c>
      <c r="F1144">
        <v>68.7761</v>
      </c>
      <c r="G1144">
        <v>-81.243600000000001</v>
      </c>
      <c r="H1144">
        <v>-5</v>
      </c>
      <c r="I1144">
        <v>8.1999999999999993</v>
      </c>
      <c r="J1144" t="str">
        <f>HYPERLINK("https://climate.onebuilding.org/WMO_Region_4_North_and_Central_America/CAN_Canada/NU_Nunavut/CAN_NU_Hall.Beach.AP.713200_TMYx.zip")</f>
        <v>https://climate.onebuilding.org/WMO_Region_4_North_and_Central_America/CAN_Canada/NU_Nunavut/CAN_NU_Hall.Beach.AP.713200_TMYx.zip</v>
      </c>
    </row>
    <row r="1145" spans="1:10" x14ac:dyDescent="0.25">
      <c r="A1145" t="s">
        <v>6</v>
      </c>
      <c r="B1145" t="s">
        <v>42</v>
      </c>
      <c r="C1145" t="s">
        <v>591</v>
      </c>
      <c r="D1145">
        <v>713210</v>
      </c>
      <c r="E1145" t="s">
        <v>10</v>
      </c>
      <c r="F1145">
        <v>63.747199999999999</v>
      </c>
      <c r="G1145">
        <v>-68.544399999999996</v>
      </c>
      <c r="H1145">
        <v>-5</v>
      </c>
      <c r="I1145">
        <v>33.5</v>
      </c>
      <c r="J1145" t="str">
        <f>HYPERLINK("https://climate.onebuilding.org/WMO_Region_4_North_and_Central_America/CAN_Canada/NU_Nunavut/CAN_NU_Iqaluit.CS.713210_TMYx.2007-2021.zip")</f>
        <v>https://climate.onebuilding.org/WMO_Region_4_North_and_Central_America/CAN_Canada/NU_Nunavut/CAN_NU_Iqaluit.CS.713210_TMYx.2007-2021.zip</v>
      </c>
    </row>
    <row r="1146" spans="1:10" x14ac:dyDescent="0.25">
      <c r="A1146" t="s">
        <v>6</v>
      </c>
      <c r="B1146" t="s">
        <v>42</v>
      </c>
      <c r="C1146" t="s">
        <v>591</v>
      </c>
      <c r="D1146">
        <v>713210</v>
      </c>
      <c r="E1146" t="s">
        <v>10</v>
      </c>
      <c r="F1146">
        <v>63.747199999999999</v>
      </c>
      <c r="G1146">
        <v>-68.544399999999996</v>
      </c>
      <c r="H1146">
        <v>-5</v>
      </c>
      <c r="I1146">
        <v>33.5</v>
      </c>
      <c r="J1146" t="str">
        <f>HYPERLINK("https://climate.onebuilding.org/WMO_Region_4_North_and_Central_America/CAN_Canada/NU_Nunavut/CAN_NU_Iqaluit.CS.713210_TMYx.2009-2023.zip")</f>
        <v>https://climate.onebuilding.org/WMO_Region_4_North_and_Central_America/CAN_Canada/NU_Nunavut/CAN_NU_Iqaluit.CS.713210_TMYx.2009-2023.zip</v>
      </c>
    </row>
    <row r="1147" spans="1:10" x14ac:dyDescent="0.25">
      <c r="A1147" t="s">
        <v>6</v>
      </c>
      <c r="B1147" t="s">
        <v>42</v>
      </c>
      <c r="C1147" t="s">
        <v>591</v>
      </c>
      <c r="D1147">
        <v>713210</v>
      </c>
      <c r="E1147" t="s">
        <v>10</v>
      </c>
      <c r="F1147">
        <v>63.747199999999999</v>
      </c>
      <c r="G1147">
        <v>-68.544399999999996</v>
      </c>
      <c r="H1147">
        <v>-5</v>
      </c>
      <c r="I1147">
        <v>33.5</v>
      </c>
      <c r="J1147" t="str">
        <f>HYPERLINK("https://climate.onebuilding.org/WMO_Region_4_North_and_Central_America/CAN_Canada/NU_Nunavut/CAN_NU_Iqaluit.CS.713210_TMYx.zip")</f>
        <v>https://climate.onebuilding.org/WMO_Region_4_North_and_Central_America/CAN_Canada/NU_Nunavut/CAN_NU_Iqaluit.CS.713210_TMYx.zip</v>
      </c>
    </row>
    <row r="1148" spans="1:10" x14ac:dyDescent="0.25">
      <c r="A1148" t="s">
        <v>6</v>
      </c>
      <c r="B1148" t="s">
        <v>42</v>
      </c>
      <c r="C1148" t="s">
        <v>592</v>
      </c>
      <c r="D1148">
        <v>713220</v>
      </c>
      <c r="E1148" t="s">
        <v>10</v>
      </c>
      <c r="F1148">
        <v>61.1</v>
      </c>
      <c r="G1148">
        <v>-94.066699999999997</v>
      </c>
      <c r="H1148">
        <v>-6</v>
      </c>
      <c r="I1148">
        <v>9.8000000000000007</v>
      </c>
      <c r="J1148" t="str">
        <f>HYPERLINK("https://climate.onebuilding.org/WMO_Region_4_North_and_Central_America/CAN_Canada/NU_Nunavut/CAN_NU_Arviat.CS.713220_TMYx.2007-2021.zip")</f>
        <v>https://climate.onebuilding.org/WMO_Region_4_North_and_Central_America/CAN_Canada/NU_Nunavut/CAN_NU_Arviat.CS.713220_TMYx.2007-2021.zip</v>
      </c>
    </row>
    <row r="1149" spans="1:10" x14ac:dyDescent="0.25">
      <c r="A1149" t="s">
        <v>6</v>
      </c>
      <c r="B1149" t="s">
        <v>42</v>
      </c>
      <c r="C1149" t="s">
        <v>592</v>
      </c>
      <c r="D1149">
        <v>713220</v>
      </c>
      <c r="E1149" t="s">
        <v>10</v>
      </c>
      <c r="F1149">
        <v>61.1</v>
      </c>
      <c r="G1149">
        <v>-94.066699999999997</v>
      </c>
      <c r="H1149">
        <v>-6</v>
      </c>
      <c r="I1149">
        <v>9.8000000000000007</v>
      </c>
      <c r="J1149" t="str">
        <f>HYPERLINK("https://climate.onebuilding.org/WMO_Region_4_North_and_Central_America/CAN_Canada/NU_Nunavut/CAN_NU_Arviat.CS.713220_TMYx.2009-2023.zip")</f>
        <v>https://climate.onebuilding.org/WMO_Region_4_North_and_Central_America/CAN_Canada/NU_Nunavut/CAN_NU_Arviat.CS.713220_TMYx.2009-2023.zip</v>
      </c>
    </row>
    <row r="1150" spans="1:10" x14ac:dyDescent="0.25">
      <c r="A1150" t="s">
        <v>6</v>
      </c>
      <c r="B1150" t="s">
        <v>42</v>
      </c>
      <c r="C1150" t="s">
        <v>592</v>
      </c>
      <c r="D1150">
        <v>713220</v>
      </c>
      <c r="E1150" t="s">
        <v>10</v>
      </c>
      <c r="F1150">
        <v>61.1</v>
      </c>
      <c r="G1150">
        <v>-94.066699999999997</v>
      </c>
      <c r="H1150">
        <v>-6</v>
      </c>
      <c r="I1150">
        <v>9.8000000000000007</v>
      </c>
      <c r="J1150" t="str">
        <f>HYPERLINK("https://climate.onebuilding.org/WMO_Region_4_North_and_Central_America/CAN_Canada/NU_Nunavut/CAN_NU_Arviat.CS.713220_TMYx.zip")</f>
        <v>https://climate.onebuilding.org/WMO_Region_4_North_and_Central_America/CAN_Canada/NU_Nunavut/CAN_NU_Arviat.CS.713220_TMYx.zip</v>
      </c>
    </row>
    <row r="1151" spans="1:10" x14ac:dyDescent="0.25">
      <c r="A1151" t="s">
        <v>6</v>
      </c>
      <c r="B1151" t="s">
        <v>14</v>
      </c>
      <c r="C1151" t="s">
        <v>593</v>
      </c>
      <c r="D1151">
        <v>713230</v>
      </c>
      <c r="E1151" t="s">
        <v>594</v>
      </c>
      <c r="F1151">
        <v>46.204999999999998</v>
      </c>
      <c r="G1151">
        <v>-70.784999999999997</v>
      </c>
      <c r="H1151">
        <v>-5</v>
      </c>
      <c r="I1151">
        <v>229.2</v>
      </c>
      <c r="J1151" t="str">
        <f>HYPERLINK("https://climate.onebuilding.org/WMO_Region_4_North_and_Central_America/CAN_Canada/QC_Quebec/CAN_QC_Beauceville.713230_TMYx.2004-2018.zip")</f>
        <v>https://climate.onebuilding.org/WMO_Region_4_North_and_Central_America/CAN_Canada/QC_Quebec/CAN_QC_Beauceville.713230_TMYx.2004-2018.zip</v>
      </c>
    </row>
    <row r="1152" spans="1:10" x14ac:dyDescent="0.25">
      <c r="A1152" t="s">
        <v>6</v>
      </c>
      <c r="B1152" t="s">
        <v>14</v>
      </c>
      <c r="C1152" t="s">
        <v>593</v>
      </c>
      <c r="D1152">
        <v>713230</v>
      </c>
      <c r="E1152" t="s">
        <v>10</v>
      </c>
      <c r="F1152">
        <v>46.204999999999998</v>
      </c>
      <c r="G1152">
        <v>-70.784999999999997</v>
      </c>
      <c r="H1152">
        <v>-5</v>
      </c>
      <c r="I1152">
        <v>229.2</v>
      </c>
      <c r="J1152" t="str">
        <f>HYPERLINK("https://climate.onebuilding.org/WMO_Region_4_North_and_Central_America/CAN_Canada/QC_Quebec/CAN_QC_Beauceville.713230_TMYx.2007-2021.zip")</f>
        <v>https://climate.onebuilding.org/WMO_Region_4_North_and_Central_America/CAN_Canada/QC_Quebec/CAN_QC_Beauceville.713230_TMYx.2007-2021.zip</v>
      </c>
    </row>
    <row r="1153" spans="1:10" x14ac:dyDescent="0.25">
      <c r="A1153" t="s">
        <v>6</v>
      </c>
      <c r="B1153" t="s">
        <v>14</v>
      </c>
      <c r="C1153" t="s">
        <v>593</v>
      </c>
      <c r="D1153">
        <v>713230</v>
      </c>
      <c r="E1153" t="s">
        <v>10</v>
      </c>
      <c r="F1153">
        <v>46.204999999999998</v>
      </c>
      <c r="G1153">
        <v>-70.784999999999997</v>
      </c>
      <c r="H1153">
        <v>-5</v>
      </c>
      <c r="I1153">
        <v>229.2</v>
      </c>
      <c r="J1153" t="str">
        <f>HYPERLINK("https://climate.onebuilding.org/WMO_Region_4_North_and_Central_America/CAN_Canada/QC_Quebec/CAN_QC_Beauceville.713230_TMYx.2009-2023.zip")</f>
        <v>https://climate.onebuilding.org/WMO_Region_4_North_and_Central_America/CAN_Canada/QC_Quebec/CAN_QC_Beauceville.713230_TMYx.2009-2023.zip</v>
      </c>
    </row>
    <row r="1154" spans="1:10" x14ac:dyDescent="0.25">
      <c r="A1154" t="s">
        <v>6</v>
      </c>
      <c r="B1154" t="s">
        <v>14</v>
      </c>
      <c r="C1154" t="s">
        <v>593</v>
      </c>
      <c r="D1154">
        <v>713230</v>
      </c>
      <c r="E1154" t="s">
        <v>10</v>
      </c>
      <c r="F1154">
        <v>46.204999999999998</v>
      </c>
      <c r="G1154">
        <v>-70.784999999999997</v>
      </c>
      <c r="H1154">
        <v>-5</v>
      </c>
      <c r="I1154">
        <v>229.2</v>
      </c>
      <c r="J1154" t="str">
        <f>HYPERLINK("https://climate.onebuilding.org/WMO_Region_4_North_and_Central_America/CAN_Canada/QC_Quebec/CAN_QC_Beauceville.713230_TMYx.zip")</f>
        <v>https://climate.onebuilding.org/WMO_Region_4_North_and_Central_America/CAN_Canada/QC_Quebec/CAN_QC_Beauceville.713230_TMYx.zip</v>
      </c>
    </row>
    <row r="1155" spans="1:10" x14ac:dyDescent="0.25">
      <c r="A1155" t="s">
        <v>6</v>
      </c>
      <c r="B1155" t="s">
        <v>68</v>
      </c>
      <c r="C1155" t="s">
        <v>595</v>
      </c>
      <c r="D1155">
        <v>713240</v>
      </c>
      <c r="E1155" t="s">
        <v>596</v>
      </c>
      <c r="F1155">
        <v>44.615299999999998</v>
      </c>
      <c r="G1155">
        <v>-63.418999999999997</v>
      </c>
      <c r="H1155">
        <v>-4</v>
      </c>
      <c r="I1155">
        <v>17</v>
      </c>
      <c r="J1155" t="str">
        <f>HYPERLINK("https://climate.onebuilding.org/WMO_Region_4_North_and_Central_America/CAN_Canada/NS_Nova_Scotia/CAN_NS_Osborne.Head.DND.713240_TMYx.2004-2018.zip")</f>
        <v>https://climate.onebuilding.org/WMO_Region_4_North_and_Central_America/CAN_Canada/NS_Nova_Scotia/CAN_NS_Osborne.Head.DND.713240_TMYx.2004-2018.zip</v>
      </c>
    </row>
    <row r="1156" spans="1:10" x14ac:dyDescent="0.25">
      <c r="A1156" t="s">
        <v>6</v>
      </c>
      <c r="B1156" t="s">
        <v>68</v>
      </c>
      <c r="C1156" t="s">
        <v>595</v>
      </c>
      <c r="D1156">
        <v>713240</v>
      </c>
      <c r="E1156" t="s">
        <v>10</v>
      </c>
      <c r="F1156">
        <v>44.613300000000002</v>
      </c>
      <c r="G1156">
        <v>-63.422199999999997</v>
      </c>
      <c r="H1156">
        <v>-4</v>
      </c>
      <c r="I1156">
        <v>17</v>
      </c>
      <c r="J1156" t="str">
        <f>HYPERLINK("https://climate.onebuilding.org/WMO_Region_4_North_and_Central_America/CAN_Canada/NS_Nova_Scotia/CAN_NS_Osborne.Head.DND.713240_TMYx.2007-2021.zip")</f>
        <v>https://climate.onebuilding.org/WMO_Region_4_North_and_Central_America/CAN_Canada/NS_Nova_Scotia/CAN_NS_Osborne.Head.DND.713240_TMYx.2007-2021.zip</v>
      </c>
    </row>
    <row r="1157" spans="1:10" x14ac:dyDescent="0.25">
      <c r="A1157" t="s">
        <v>6</v>
      </c>
      <c r="B1157" t="s">
        <v>68</v>
      </c>
      <c r="C1157" t="s">
        <v>595</v>
      </c>
      <c r="D1157">
        <v>713240</v>
      </c>
      <c r="E1157" t="s">
        <v>10</v>
      </c>
      <c r="F1157">
        <v>44.613300000000002</v>
      </c>
      <c r="G1157">
        <v>-63.422199999999997</v>
      </c>
      <c r="H1157">
        <v>-4</v>
      </c>
      <c r="I1157">
        <v>17</v>
      </c>
      <c r="J1157" t="str">
        <f>HYPERLINK("https://climate.onebuilding.org/WMO_Region_4_North_and_Central_America/CAN_Canada/NS_Nova_Scotia/CAN_NS_Osborne.Head.DND.713240_TMYx.2009-2023.zip")</f>
        <v>https://climate.onebuilding.org/WMO_Region_4_North_and_Central_America/CAN_Canada/NS_Nova_Scotia/CAN_NS_Osborne.Head.DND.713240_TMYx.2009-2023.zip</v>
      </c>
    </row>
    <row r="1158" spans="1:10" x14ac:dyDescent="0.25">
      <c r="A1158" t="s">
        <v>6</v>
      </c>
      <c r="B1158" t="s">
        <v>68</v>
      </c>
      <c r="C1158" t="s">
        <v>595</v>
      </c>
      <c r="D1158">
        <v>713240</v>
      </c>
      <c r="E1158" t="s">
        <v>10</v>
      </c>
      <c r="F1158">
        <v>44.613300000000002</v>
      </c>
      <c r="G1158">
        <v>-63.422199999999997</v>
      </c>
      <c r="H1158">
        <v>-4</v>
      </c>
      <c r="I1158">
        <v>17</v>
      </c>
      <c r="J1158" t="str">
        <f>HYPERLINK("https://climate.onebuilding.org/WMO_Region_4_North_and_Central_America/CAN_Canada/NS_Nova_Scotia/CAN_NS_Osborne.Head.DND.713240_TMYx.zip")</f>
        <v>https://climate.onebuilding.org/WMO_Region_4_North_and_Central_America/CAN_Canada/NS_Nova_Scotia/CAN_NS_Osborne.Head.DND.713240_TMYx.zip</v>
      </c>
    </row>
    <row r="1159" spans="1:10" x14ac:dyDescent="0.25">
      <c r="A1159" t="s">
        <v>6</v>
      </c>
      <c r="B1159" t="s">
        <v>68</v>
      </c>
      <c r="C1159" t="s">
        <v>597</v>
      </c>
      <c r="D1159">
        <v>713250</v>
      </c>
      <c r="E1159" t="s">
        <v>598</v>
      </c>
      <c r="F1159">
        <v>44.75</v>
      </c>
      <c r="G1159">
        <v>-63.667000000000002</v>
      </c>
      <c r="H1159">
        <v>-4</v>
      </c>
      <c r="I1159">
        <v>10</v>
      </c>
      <c r="J1159" t="str">
        <f>HYPERLINK("https://climate.onebuilding.org/WMO_Region_4_North_and_Central_America/CAN_Canada/NS_Nova_Scotia/CAN_NS_Bedford.Range.713250_TMYx.2004-2018.zip")</f>
        <v>https://climate.onebuilding.org/WMO_Region_4_North_and_Central_America/CAN_Canada/NS_Nova_Scotia/CAN_NS_Bedford.Range.713250_TMYx.2004-2018.zip</v>
      </c>
    </row>
    <row r="1160" spans="1:10" x14ac:dyDescent="0.25">
      <c r="A1160" t="s">
        <v>6</v>
      </c>
      <c r="B1160" t="s">
        <v>68</v>
      </c>
      <c r="C1160" t="s">
        <v>597</v>
      </c>
      <c r="D1160">
        <v>713250</v>
      </c>
      <c r="E1160" t="s">
        <v>10</v>
      </c>
      <c r="F1160">
        <v>44.7455</v>
      </c>
      <c r="G1160">
        <v>-63.66</v>
      </c>
      <c r="H1160">
        <v>-4</v>
      </c>
      <c r="I1160">
        <v>10</v>
      </c>
      <c r="J1160" t="str">
        <f>HYPERLINK("https://climate.onebuilding.org/WMO_Region_4_North_and_Central_America/CAN_Canada/NS_Nova_Scotia/CAN_NS_Bedford.Range.713250_TMYx.2007-2021.zip")</f>
        <v>https://climate.onebuilding.org/WMO_Region_4_North_and_Central_America/CAN_Canada/NS_Nova_Scotia/CAN_NS_Bedford.Range.713250_TMYx.2007-2021.zip</v>
      </c>
    </row>
    <row r="1161" spans="1:10" x14ac:dyDescent="0.25">
      <c r="A1161" t="s">
        <v>6</v>
      </c>
      <c r="B1161" t="s">
        <v>68</v>
      </c>
      <c r="C1161" t="s">
        <v>597</v>
      </c>
      <c r="D1161">
        <v>713250</v>
      </c>
      <c r="E1161" t="s">
        <v>10</v>
      </c>
      <c r="F1161">
        <v>44.7455</v>
      </c>
      <c r="G1161">
        <v>-63.66</v>
      </c>
      <c r="H1161">
        <v>-4</v>
      </c>
      <c r="I1161">
        <v>10</v>
      </c>
      <c r="J1161" t="str">
        <f>HYPERLINK("https://climate.onebuilding.org/WMO_Region_4_North_and_Central_America/CAN_Canada/NS_Nova_Scotia/CAN_NS_Bedford.Range.713250_TMYx.2009-2023.zip")</f>
        <v>https://climate.onebuilding.org/WMO_Region_4_North_and_Central_America/CAN_Canada/NS_Nova_Scotia/CAN_NS_Bedford.Range.713250_TMYx.2009-2023.zip</v>
      </c>
    </row>
    <row r="1162" spans="1:10" x14ac:dyDescent="0.25">
      <c r="A1162" t="s">
        <v>6</v>
      </c>
      <c r="B1162" t="s">
        <v>68</v>
      </c>
      <c r="C1162" t="s">
        <v>597</v>
      </c>
      <c r="D1162">
        <v>713250</v>
      </c>
      <c r="E1162" t="s">
        <v>10</v>
      </c>
      <c r="F1162">
        <v>44.7455</v>
      </c>
      <c r="G1162">
        <v>-63.66</v>
      </c>
      <c r="H1162">
        <v>-4</v>
      </c>
      <c r="I1162">
        <v>10</v>
      </c>
      <c r="J1162" t="str">
        <f>HYPERLINK("https://climate.onebuilding.org/WMO_Region_4_North_and_Central_America/CAN_Canada/NS_Nova_Scotia/CAN_NS_Bedford.Range.713250_TMYx.zip")</f>
        <v>https://climate.onebuilding.org/WMO_Region_4_North_and_Central_America/CAN_Canada/NS_Nova_Scotia/CAN_NS_Bedford.Range.713250_TMYx.zip</v>
      </c>
    </row>
    <row r="1163" spans="1:10" x14ac:dyDescent="0.25">
      <c r="A1163" t="s">
        <v>6</v>
      </c>
      <c r="B1163" t="s">
        <v>68</v>
      </c>
      <c r="C1163" t="s">
        <v>599</v>
      </c>
      <c r="D1163">
        <v>713270</v>
      </c>
      <c r="E1163" t="s">
        <v>600</v>
      </c>
      <c r="F1163">
        <v>44.656999999999996</v>
      </c>
      <c r="G1163">
        <v>-63.607999999999997</v>
      </c>
      <c r="H1163">
        <v>-4</v>
      </c>
      <c r="I1163">
        <v>51</v>
      </c>
      <c r="J1163" t="str">
        <f>HYPERLINK("https://climate.onebuilding.org/WMO_Region_4_North_and_Central_America/CAN_Canada/NS_Nova_Scotia/CAN_NS_CFB.Halifax-Windsor.Park.713270_TMYx.2004-2018.zip")</f>
        <v>https://climate.onebuilding.org/WMO_Region_4_North_and_Central_America/CAN_Canada/NS_Nova_Scotia/CAN_NS_CFB.Halifax-Windsor.Park.713270_TMYx.2004-2018.zip</v>
      </c>
    </row>
    <row r="1164" spans="1:10" x14ac:dyDescent="0.25">
      <c r="A1164" t="s">
        <v>6</v>
      </c>
      <c r="B1164" t="s">
        <v>68</v>
      </c>
      <c r="C1164" t="s">
        <v>599</v>
      </c>
      <c r="D1164">
        <v>713270</v>
      </c>
      <c r="E1164" t="s">
        <v>10</v>
      </c>
      <c r="F1164">
        <v>44.656999999999996</v>
      </c>
      <c r="G1164">
        <v>-63.607999999999997</v>
      </c>
      <c r="H1164">
        <v>-4</v>
      </c>
      <c r="I1164">
        <v>51</v>
      </c>
      <c r="J1164" t="str">
        <f>HYPERLINK("https://climate.onebuilding.org/WMO_Region_4_North_and_Central_America/CAN_Canada/NS_Nova_Scotia/CAN_NS_CFB.Halifax-Windsor.Park.713270_TMYx.2007-2021.zip")</f>
        <v>https://climate.onebuilding.org/WMO_Region_4_North_and_Central_America/CAN_Canada/NS_Nova_Scotia/CAN_NS_CFB.Halifax-Windsor.Park.713270_TMYx.2007-2021.zip</v>
      </c>
    </row>
    <row r="1165" spans="1:10" x14ac:dyDescent="0.25">
      <c r="A1165" t="s">
        <v>6</v>
      </c>
      <c r="B1165" t="s">
        <v>68</v>
      </c>
      <c r="C1165" t="s">
        <v>599</v>
      </c>
      <c r="D1165">
        <v>713270</v>
      </c>
      <c r="E1165" t="s">
        <v>10</v>
      </c>
      <c r="F1165">
        <v>44.656999999999996</v>
      </c>
      <c r="G1165">
        <v>-63.607999999999997</v>
      </c>
      <c r="H1165">
        <v>-4</v>
      </c>
      <c r="I1165">
        <v>51</v>
      </c>
      <c r="J1165" t="str">
        <f>HYPERLINK("https://climate.onebuilding.org/WMO_Region_4_North_and_Central_America/CAN_Canada/NS_Nova_Scotia/CAN_NS_CFB.Halifax-Windsor.Park.713270_TMYx.2009-2023.zip")</f>
        <v>https://climate.onebuilding.org/WMO_Region_4_North_and_Central_America/CAN_Canada/NS_Nova_Scotia/CAN_NS_CFB.Halifax-Windsor.Park.713270_TMYx.2009-2023.zip</v>
      </c>
    </row>
    <row r="1166" spans="1:10" x14ac:dyDescent="0.25">
      <c r="A1166" t="s">
        <v>6</v>
      </c>
      <c r="B1166" t="s">
        <v>68</v>
      </c>
      <c r="C1166" t="s">
        <v>599</v>
      </c>
      <c r="D1166">
        <v>713270</v>
      </c>
      <c r="E1166" t="s">
        <v>10</v>
      </c>
      <c r="F1166">
        <v>44.656999999999996</v>
      </c>
      <c r="G1166">
        <v>-63.607999999999997</v>
      </c>
      <c r="H1166">
        <v>-4</v>
      </c>
      <c r="I1166">
        <v>51</v>
      </c>
      <c r="J1166" t="str">
        <f>HYPERLINK("https://climate.onebuilding.org/WMO_Region_4_North_and_Central_America/CAN_Canada/NS_Nova_Scotia/CAN_NS_CFB.Halifax-Windsor.Park.713270_TMYx.zip")</f>
        <v>https://climate.onebuilding.org/WMO_Region_4_North_and_Central_America/CAN_Canada/NS_Nova_Scotia/CAN_NS_CFB.Halifax-Windsor.Park.713270_TMYx.zip</v>
      </c>
    </row>
    <row r="1167" spans="1:10" x14ac:dyDescent="0.25">
      <c r="A1167" t="s">
        <v>6</v>
      </c>
      <c r="B1167" t="s">
        <v>68</v>
      </c>
      <c r="C1167" t="s">
        <v>601</v>
      </c>
      <c r="D1167">
        <v>713290</v>
      </c>
      <c r="E1167" t="s">
        <v>602</v>
      </c>
      <c r="F1167">
        <v>44.7</v>
      </c>
      <c r="G1167">
        <v>-63.633000000000003</v>
      </c>
      <c r="H1167">
        <v>-4</v>
      </c>
      <c r="I1167">
        <v>4</v>
      </c>
      <c r="J1167" t="str">
        <f>HYPERLINK("https://climate.onebuilding.org/WMO_Region_4_North_and_Central_America/CAN_Canada/NS_Nova_Scotia/CAN_NS_Bedford.Basin.713290_TMYx.2004-2018.zip")</f>
        <v>https://climate.onebuilding.org/WMO_Region_4_North_and_Central_America/CAN_Canada/NS_Nova_Scotia/CAN_NS_Bedford.Basin.713290_TMYx.2004-2018.zip</v>
      </c>
    </row>
    <row r="1168" spans="1:10" x14ac:dyDescent="0.25">
      <c r="A1168" t="s">
        <v>6</v>
      </c>
      <c r="B1168" t="s">
        <v>68</v>
      </c>
      <c r="C1168" t="s">
        <v>601</v>
      </c>
      <c r="D1168">
        <v>713290</v>
      </c>
      <c r="E1168" t="s">
        <v>10</v>
      </c>
      <c r="F1168">
        <v>44.706200000000003</v>
      </c>
      <c r="G1168">
        <v>-63.633499999999998</v>
      </c>
      <c r="H1168">
        <v>-4</v>
      </c>
      <c r="I1168">
        <v>4</v>
      </c>
      <c r="J1168" t="str">
        <f>HYPERLINK("https://climate.onebuilding.org/WMO_Region_4_North_and_Central_America/CAN_Canada/NS_Nova_Scotia/CAN_NS_Bedford.Basin.713290_TMYx.2007-2021.zip")</f>
        <v>https://climate.onebuilding.org/WMO_Region_4_North_and_Central_America/CAN_Canada/NS_Nova_Scotia/CAN_NS_Bedford.Basin.713290_TMYx.2007-2021.zip</v>
      </c>
    </row>
    <row r="1169" spans="1:10" x14ac:dyDescent="0.25">
      <c r="A1169" t="s">
        <v>6</v>
      </c>
      <c r="B1169" t="s">
        <v>68</v>
      </c>
      <c r="C1169" t="s">
        <v>601</v>
      </c>
      <c r="D1169">
        <v>713290</v>
      </c>
      <c r="E1169" t="s">
        <v>10</v>
      </c>
      <c r="F1169">
        <v>44.706200000000003</v>
      </c>
      <c r="G1169">
        <v>-63.633499999999998</v>
      </c>
      <c r="H1169">
        <v>-4</v>
      </c>
      <c r="I1169">
        <v>4</v>
      </c>
      <c r="J1169" t="str">
        <f>HYPERLINK("https://climate.onebuilding.org/WMO_Region_4_North_and_Central_America/CAN_Canada/NS_Nova_Scotia/CAN_NS_Bedford.Basin.713290_TMYx.2009-2023.zip")</f>
        <v>https://climate.onebuilding.org/WMO_Region_4_North_and_Central_America/CAN_Canada/NS_Nova_Scotia/CAN_NS_Bedford.Basin.713290_TMYx.2009-2023.zip</v>
      </c>
    </row>
    <row r="1170" spans="1:10" x14ac:dyDescent="0.25">
      <c r="A1170" t="s">
        <v>6</v>
      </c>
      <c r="B1170" t="s">
        <v>68</v>
      </c>
      <c r="C1170" t="s">
        <v>601</v>
      </c>
      <c r="D1170">
        <v>713290</v>
      </c>
      <c r="E1170" t="s">
        <v>10</v>
      </c>
      <c r="F1170">
        <v>44.706200000000003</v>
      </c>
      <c r="G1170">
        <v>-63.633499999999998</v>
      </c>
      <c r="H1170">
        <v>-4</v>
      </c>
      <c r="I1170">
        <v>4</v>
      </c>
      <c r="J1170" t="str">
        <f>HYPERLINK("https://climate.onebuilding.org/WMO_Region_4_North_and_Central_America/CAN_Canada/NS_Nova_Scotia/CAN_NS_Bedford.Basin.713290_TMYx.zip")</f>
        <v>https://climate.onebuilding.org/WMO_Region_4_North_and_Central_America/CAN_Canada/NS_Nova_Scotia/CAN_NS_Bedford.Basin.713290_TMYx.zip</v>
      </c>
    </row>
    <row r="1171" spans="1:10" x14ac:dyDescent="0.25">
      <c r="A1171" t="s">
        <v>6</v>
      </c>
      <c r="B1171" t="s">
        <v>58</v>
      </c>
      <c r="C1171" t="s">
        <v>603</v>
      </c>
      <c r="D1171">
        <v>713310</v>
      </c>
      <c r="E1171" t="s">
        <v>604</v>
      </c>
      <c r="F1171">
        <v>55.533299999999997</v>
      </c>
      <c r="G1171">
        <v>-102.35</v>
      </c>
      <c r="H1171">
        <v>-6</v>
      </c>
      <c r="I1171">
        <v>297.39999999999998</v>
      </c>
      <c r="J1171" t="str">
        <f>HYPERLINK("https://climate.onebuilding.org/WMO_Region_4_North_and_Central_America/CAN_Canada/SK_Saskatchewan/CAN_SK_Island.Falls.713310_TMYx.2004-2018.zip")</f>
        <v>https://climate.onebuilding.org/WMO_Region_4_North_and_Central_America/CAN_Canada/SK_Saskatchewan/CAN_SK_Island.Falls.713310_TMYx.2004-2018.zip</v>
      </c>
    </row>
    <row r="1172" spans="1:10" x14ac:dyDescent="0.25">
      <c r="A1172" t="s">
        <v>6</v>
      </c>
      <c r="B1172" t="s">
        <v>58</v>
      </c>
      <c r="C1172" t="s">
        <v>603</v>
      </c>
      <c r="D1172">
        <v>713310</v>
      </c>
      <c r="E1172" t="s">
        <v>10</v>
      </c>
      <c r="F1172">
        <v>55.53</v>
      </c>
      <c r="G1172">
        <v>-102.35</v>
      </c>
      <c r="H1172">
        <v>-6</v>
      </c>
      <c r="I1172">
        <v>297.39999999999998</v>
      </c>
      <c r="J1172" t="str">
        <f>HYPERLINK("https://climate.onebuilding.org/WMO_Region_4_North_and_Central_America/CAN_Canada/SK_Saskatchewan/CAN_SK_Island.Falls.713310_TMYx.2007-2021.zip")</f>
        <v>https://climate.onebuilding.org/WMO_Region_4_North_and_Central_America/CAN_Canada/SK_Saskatchewan/CAN_SK_Island.Falls.713310_TMYx.2007-2021.zip</v>
      </c>
    </row>
    <row r="1173" spans="1:10" x14ac:dyDescent="0.25">
      <c r="A1173" t="s">
        <v>6</v>
      </c>
      <c r="B1173" t="s">
        <v>58</v>
      </c>
      <c r="C1173" t="s">
        <v>603</v>
      </c>
      <c r="D1173">
        <v>713310</v>
      </c>
      <c r="E1173" t="s">
        <v>10</v>
      </c>
      <c r="F1173">
        <v>55.53</v>
      </c>
      <c r="G1173">
        <v>-102.35</v>
      </c>
      <c r="H1173">
        <v>-6</v>
      </c>
      <c r="I1173">
        <v>297.39999999999998</v>
      </c>
      <c r="J1173" t="str">
        <f>HYPERLINK("https://climate.onebuilding.org/WMO_Region_4_North_and_Central_America/CAN_Canada/SK_Saskatchewan/CAN_SK_Island.Falls.713310_TMYx.2009-2023.zip")</f>
        <v>https://climate.onebuilding.org/WMO_Region_4_North_and_Central_America/CAN_Canada/SK_Saskatchewan/CAN_SK_Island.Falls.713310_TMYx.2009-2023.zip</v>
      </c>
    </row>
    <row r="1174" spans="1:10" x14ac:dyDescent="0.25">
      <c r="A1174" t="s">
        <v>6</v>
      </c>
      <c r="B1174" t="s">
        <v>58</v>
      </c>
      <c r="C1174" t="s">
        <v>603</v>
      </c>
      <c r="D1174">
        <v>713310</v>
      </c>
      <c r="E1174" t="s">
        <v>10</v>
      </c>
      <c r="F1174">
        <v>55.53</v>
      </c>
      <c r="G1174">
        <v>-102.35</v>
      </c>
      <c r="H1174">
        <v>-6</v>
      </c>
      <c r="I1174">
        <v>297.39999999999998</v>
      </c>
      <c r="J1174" t="str">
        <f>HYPERLINK("https://climate.onebuilding.org/WMO_Region_4_North_and_Central_America/CAN_Canada/SK_Saskatchewan/CAN_SK_Island.Falls.713310_TMYx.zip")</f>
        <v>https://climate.onebuilding.org/WMO_Region_4_North_and_Central_America/CAN_Canada/SK_Saskatchewan/CAN_SK_Island.Falls.713310_TMYx.zip</v>
      </c>
    </row>
    <row r="1175" spans="1:10" x14ac:dyDescent="0.25">
      <c r="A1175" t="s">
        <v>6</v>
      </c>
      <c r="B1175" t="s">
        <v>42</v>
      </c>
      <c r="C1175" t="s">
        <v>605</v>
      </c>
      <c r="D1175">
        <v>713320</v>
      </c>
      <c r="E1175" t="s">
        <v>10</v>
      </c>
      <c r="F1175">
        <v>67.8172</v>
      </c>
      <c r="G1175">
        <v>-115.1353</v>
      </c>
      <c r="H1175">
        <v>-7</v>
      </c>
      <c r="I1175">
        <v>23.5</v>
      </c>
      <c r="J1175" t="str">
        <f>HYPERLINK("https://climate.onebuilding.org/WMO_Region_4_North_and_Central_America/CAN_Canada/NU_Nunavut/CAN_NU_Kugluktuk.CS.713320_TMYx.2007-2021.zip")</f>
        <v>https://climate.onebuilding.org/WMO_Region_4_North_and_Central_America/CAN_Canada/NU_Nunavut/CAN_NU_Kugluktuk.CS.713320_TMYx.2007-2021.zip</v>
      </c>
    </row>
    <row r="1176" spans="1:10" x14ac:dyDescent="0.25">
      <c r="A1176" t="s">
        <v>6</v>
      </c>
      <c r="B1176" t="s">
        <v>42</v>
      </c>
      <c r="C1176" t="s">
        <v>605</v>
      </c>
      <c r="D1176">
        <v>713320</v>
      </c>
      <c r="E1176" t="s">
        <v>10</v>
      </c>
      <c r="F1176">
        <v>67.8172</v>
      </c>
      <c r="G1176">
        <v>-115.1353</v>
      </c>
      <c r="H1176">
        <v>-7</v>
      </c>
      <c r="I1176">
        <v>23.5</v>
      </c>
      <c r="J1176" t="str">
        <f>HYPERLINK("https://climate.onebuilding.org/WMO_Region_4_North_and_Central_America/CAN_Canada/NU_Nunavut/CAN_NU_Kugluktuk.CS.713320_TMYx.2009-2023.zip")</f>
        <v>https://climate.onebuilding.org/WMO_Region_4_North_and_Central_America/CAN_Canada/NU_Nunavut/CAN_NU_Kugluktuk.CS.713320_TMYx.2009-2023.zip</v>
      </c>
    </row>
    <row r="1177" spans="1:10" x14ac:dyDescent="0.25">
      <c r="A1177" t="s">
        <v>6</v>
      </c>
      <c r="B1177" t="s">
        <v>42</v>
      </c>
      <c r="C1177" t="s">
        <v>605</v>
      </c>
      <c r="D1177">
        <v>713320</v>
      </c>
      <c r="E1177" t="s">
        <v>10</v>
      </c>
      <c r="F1177">
        <v>67.8172</v>
      </c>
      <c r="G1177">
        <v>-115.1353</v>
      </c>
      <c r="H1177">
        <v>-7</v>
      </c>
      <c r="I1177">
        <v>23.5</v>
      </c>
      <c r="J1177" t="str">
        <f>HYPERLINK("https://climate.onebuilding.org/WMO_Region_4_North_and_Central_America/CAN_Canada/NU_Nunavut/CAN_NU_Kugluktuk.CS.713320_TMYx.zip")</f>
        <v>https://climate.onebuilding.org/WMO_Region_4_North_and_Central_America/CAN_Canada/NU_Nunavut/CAN_NU_Kugluktuk.CS.713320_TMYx.zip</v>
      </c>
    </row>
    <row r="1178" spans="1:10" x14ac:dyDescent="0.25">
      <c r="A1178" t="s">
        <v>6</v>
      </c>
      <c r="B1178" t="s">
        <v>14</v>
      </c>
      <c r="C1178" t="s">
        <v>606</v>
      </c>
      <c r="D1178">
        <v>713335</v>
      </c>
      <c r="E1178" t="s">
        <v>244</v>
      </c>
      <c r="F1178">
        <v>47.07</v>
      </c>
      <c r="G1178">
        <v>-70.53</v>
      </c>
      <c r="H1178">
        <v>-5</v>
      </c>
      <c r="I1178">
        <v>18</v>
      </c>
      <c r="J1178" t="str">
        <f>HYPERLINK("https://climate.onebuilding.org/WMO_Region_4_North_and_Central_America/CAN_Canada/QC_Quebec/CAN_QC_Ile.aux.Grues.AP.713335_TMYx.2007-2021.zip")</f>
        <v>https://climate.onebuilding.org/WMO_Region_4_North_and_Central_America/CAN_Canada/QC_Quebec/CAN_QC_Ile.aux.Grues.AP.713335_TMYx.2007-2021.zip</v>
      </c>
    </row>
    <row r="1179" spans="1:10" x14ac:dyDescent="0.25">
      <c r="A1179" t="s">
        <v>6</v>
      </c>
      <c r="B1179" t="s">
        <v>14</v>
      </c>
      <c r="C1179" t="s">
        <v>606</v>
      </c>
      <c r="D1179">
        <v>713335</v>
      </c>
      <c r="E1179" t="s">
        <v>244</v>
      </c>
      <c r="F1179">
        <v>47.07</v>
      </c>
      <c r="G1179">
        <v>-70.53</v>
      </c>
      <c r="H1179">
        <v>-5</v>
      </c>
      <c r="I1179">
        <v>18</v>
      </c>
      <c r="J1179" t="str">
        <f>HYPERLINK("https://climate.onebuilding.org/WMO_Region_4_North_and_Central_America/CAN_Canada/QC_Quebec/CAN_QC_Ile.aux.Grues.AP.713335_TMYx.2009-2023.zip")</f>
        <v>https://climate.onebuilding.org/WMO_Region_4_North_and_Central_America/CAN_Canada/QC_Quebec/CAN_QC_Ile.aux.Grues.AP.713335_TMYx.2009-2023.zip</v>
      </c>
    </row>
    <row r="1180" spans="1:10" x14ac:dyDescent="0.25">
      <c r="A1180" t="s">
        <v>6</v>
      </c>
      <c r="B1180" t="s">
        <v>14</v>
      </c>
      <c r="C1180" t="s">
        <v>606</v>
      </c>
      <c r="D1180">
        <v>713335</v>
      </c>
      <c r="E1180" t="s">
        <v>244</v>
      </c>
      <c r="F1180">
        <v>47.07</v>
      </c>
      <c r="G1180">
        <v>-70.53</v>
      </c>
      <c r="H1180">
        <v>-5</v>
      </c>
      <c r="I1180">
        <v>18</v>
      </c>
      <c r="J1180" t="str">
        <f>HYPERLINK("https://climate.onebuilding.org/WMO_Region_4_North_and_Central_America/CAN_Canada/QC_Quebec/CAN_QC_Ile.aux.Grues.AP.713335_TMYx.zip")</f>
        <v>https://climate.onebuilding.org/WMO_Region_4_North_and_Central_America/CAN_Canada/QC_Quebec/CAN_QC_Ile.aux.Grues.AP.713335_TMYx.zip</v>
      </c>
    </row>
    <row r="1181" spans="1:10" x14ac:dyDescent="0.25">
      <c r="A1181" t="s">
        <v>6</v>
      </c>
      <c r="B1181" t="s">
        <v>94</v>
      </c>
      <c r="C1181" t="s">
        <v>607</v>
      </c>
      <c r="D1181">
        <v>713340</v>
      </c>
      <c r="E1181" t="s">
        <v>608</v>
      </c>
      <c r="F1181">
        <v>58.715800000000002</v>
      </c>
      <c r="G1181">
        <v>-98.5017</v>
      </c>
      <c r="H1181">
        <v>-6</v>
      </c>
      <c r="I1181">
        <v>262</v>
      </c>
      <c r="J1181" t="str">
        <f>HYPERLINK("https://climate.onebuilding.org/WMO_Region_4_North_and_Central_America/CAN_Canada/MB_Manitoba/CAN_MB_Tadoule.Lake.CS.713340_TMYx.2004-2018.zip")</f>
        <v>https://climate.onebuilding.org/WMO_Region_4_North_and_Central_America/CAN_Canada/MB_Manitoba/CAN_MB_Tadoule.Lake.CS.713340_TMYx.2004-2018.zip</v>
      </c>
    </row>
    <row r="1182" spans="1:10" x14ac:dyDescent="0.25">
      <c r="A1182" t="s">
        <v>6</v>
      </c>
      <c r="B1182" t="s">
        <v>94</v>
      </c>
      <c r="C1182" t="s">
        <v>607</v>
      </c>
      <c r="D1182">
        <v>713340</v>
      </c>
      <c r="E1182" t="s">
        <v>10</v>
      </c>
      <c r="F1182">
        <v>58.70917</v>
      </c>
      <c r="G1182">
        <v>-98.500829999999993</v>
      </c>
      <c r="H1182">
        <v>-6</v>
      </c>
      <c r="I1182">
        <v>262</v>
      </c>
      <c r="J1182" t="str">
        <f>HYPERLINK("https://climate.onebuilding.org/WMO_Region_4_North_and_Central_America/CAN_Canada/MB_Manitoba/CAN_MB_Tadoule.Lake.CS.713340_TMYx.2007-2021.zip")</f>
        <v>https://climate.onebuilding.org/WMO_Region_4_North_and_Central_America/CAN_Canada/MB_Manitoba/CAN_MB_Tadoule.Lake.CS.713340_TMYx.2007-2021.zip</v>
      </c>
    </row>
    <row r="1183" spans="1:10" x14ac:dyDescent="0.25">
      <c r="A1183" t="s">
        <v>6</v>
      </c>
      <c r="B1183" t="s">
        <v>94</v>
      </c>
      <c r="C1183" t="s">
        <v>607</v>
      </c>
      <c r="D1183">
        <v>713340</v>
      </c>
      <c r="E1183" t="s">
        <v>10</v>
      </c>
      <c r="F1183">
        <v>58.70917</v>
      </c>
      <c r="G1183">
        <v>-98.500829999999993</v>
      </c>
      <c r="H1183">
        <v>-6</v>
      </c>
      <c r="I1183">
        <v>262</v>
      </c>
      <c r="J1183" t="str">
        <f>HYPERLINK("https://climate.onebuilding.org/WMO_Region_4_North_and_Central_America/CAN_Canada/MB_Manitoba/CAN_MB_Tadoule.Lake.CS.713340_TMYx.2009-2023.zip")</f>
        <v>https://climate.onebuilding.org/WMO_Region_4_North_and_Central_America/CAN_Canada/MB_Manitoba/CAN_MB_Tadoule.Lake.CS.713340_TMYx.2009-2023.zip</v>
      </c>
    </row>
    <row r="1184" spans="1:10" x14ac:dyDescent="0.25">
      <c r="A1184" t="s">
        <v>6</v>
      </c>
      <c r="B1184" t="s">
        <v>94</v>
      </c>
      <c r="C1184" t="s">
        <v>607</v>
      </c>
      <c r="D1184">
        <v>713340</v>
      </c>
      <c r="E1184" t="s">
        <v>10</v>
      </c>
      <c r="F1184">
        <v>58.70917</v>
      </c>
      <c r="G1184">
        <v>-98.500829999999993</v>
      </c>
      <c r="H1184">
        <v>-6</v>
      </c>
      <c r="I1184">
        <v>262</v>
      </c>
      <c r="J1184" t="str">
        <f>HYPERLINK("https://climate.onebuilding.org/WMO_Region_4_North_and_Central_America/CAN_Canada/MB_Manitoba/CAN_MB_Tadoule.Lake.CS.713340_TMYx.zip")</f>
        <v>https://climate.onebuilding.org/WMO_Region_4_North_and_Central_America/CAN_Canada/MB_Manitoba/CAN_MB_Tadoule.Lake.CS.713340_TMYx.zip</v>
      </c>
    </row>
    <row r="1185" spans="1:10" x14ac:dyDescent="0.25">
      <c r="A1185" t="s">
        <v>6</v>
      </c>
      <c r="B1185" t="s">
        <v>11</v>
      </c>
      <c r="C1185" t="s">
        <v>609</v>
      </c>
      <c r="D1185">
        <v>713350</v>
      </c>
      <c r="E1185" t="s">
        <v>610</v>
      </c>
      <c r="F1185">
        <v>58.475000000000001</v>
      </c>
      <c r="G1185">
        <v>-62.656300000000002</v>
      </c>
      <c r="H1185">
        <v>-4</v>
      </c>
      <c r="I1185">
        <v>120</v>
      </c>
      <c r="J1185" t="str">
        <f>HYPERLINK("https://climate.onebuilding.org/WMO_Region_4_North_and_Central_America/CAN_Canada/NL_Newfoundland_and_Labrador/CAN_NL_Saglek.AP.713350_TMYx.2004-2018.zip")</f>
        <v>https://climate.onebuilding.org/WMO_Region_4_North_and_Central_America/CAN_Canada/NL_Newfoundland_and_Labrador/CAN_NL_Saglek.AP.713350_TMYx.2004-2018.zip</v>
      </c>
    </row>
    <row r="1186" spans="1:10" x14ac:dyDescent="0.25">
      <c r="A1186" t="s">
        <v>6</v>
      </c>
      <c r="B1186" t="s">
        <v>11</v>
      </c>
      <c r="C1186" t="s">
        <v>609</v>
      </c>
      <c r="D1186">
        <v>713350</v>
      </c>
      <c r="E1186" t="s">
        <v>10</v>
      </c>
      <c r="F1186">
        <v>58.475029999999997</v>
      </c>
      <c r="G1186">
        <v>-62.656260000000003</v>
      </c>
      <c r="H1186">
        <v>-4</v>
      </c>
      <c r="I1186">
        <v>120</v>
      </c>
      <c r="J1186" t="str">
        <f>HYPERLINK("https://climate.onebuilding.org/WMO_Region_4_North_and_Central_America/CAN_Canada/NL_Newfoundland_and_Labrador/CAN_NL_Saglek.AP.713350_TMYx.2007-2021.zip")</f>
        <v>https://climate.onebuilding.org/WMO_Region_4_North_and_Central_America/CAN_Canada/NL_Newfoundland_and_Labrador/CAN_NL_Saglek.AP.713350_TMYx.2007-2021.zip</v>
      </c>
    </row>
    <row r="1187" spans="1:10" x14ac:dyDescent="0.25">
      <c r="A1187" t="s">
        <v>6</v>
      </c>
      <c r="B1187" t="s">
        <v>11</v>
      </c>
      <c r="C1187" t="s">
        <v>609</v>
      </c>
      <c r="D1187">
        <v>713350</v>
      </c>
      <c r="E1187" t="s">
        <v>10</v>
      </c>
      <c r="F1187">
        <v>58.475029999999997</v>
      </c>
      <c r="G1187">
        <v>-62.656260000000003</v>
      </c>
      <c r="H1187">
        <v>-4</v>
      </c>
      <c r="I1187">
        <v>120</v>
      </c>
      <c r="J1187" t="str">
        <f>HYPERLINK("https://climate.onebuilding.org/WMO_Region_4_North_and_Central_America/CAN_Canada/NL_Newfoundland_and_Labrador/CAN_NL_Saglek.AP.713350_TMYx.2009-2023.zip")</f>
        <v>https://climate.onebuilding.org/WMO_Region_4_North_and_Central_America/CAN_Canada/NL_Newfoundland_and_Labrador/CAN_NL_Saglek.AP.713350_TMYx.2009-2023.zip</v>
      </c>
    </row>
    <row r="1188" spans="1:10" x14ac:dyDescent="0.25">
      <c r="A1188" t="s">
        <v>6</v>
      </c>
      <c r="B1188" t="s">
        <v>11</v>
      </c>
      <c r="C1188" t="s">
        <v>609</v>
      </c>
      <c r="D1188">
        <v>713350</v>
      </c>
      <c r="E1188" t="s">
        <v>10</v>
      </c>
      <c r="F1188">
        <v>58.475029999999997</v>
      </c>
      <c r="G1188">
        <v>-62.656260000000003</v>
      </c>
      <c r="H1188">
        <v>-4</v>
      </c>
      <c r="I1188">
        <v>120</v>
      </c>
      <c r="J1188" t="str">
        <f>HYPERLINK("https://climate.onebuilding.org/WMO_Region_4_North_and_Central_America/CAN_Canada/NL_Newfoundland_and_Labrador/CAN_NL_Saglek.AP.713350_TMYx.zip")</f>
        <v>https://climate.onebuilding.org/WMO_Region_4_North_and_Central_America/CAN_Canada/NL_Newfoundland_and_Labrador/CAN_NL_Saglek.AP.713350_TMYx.zip</v>
      </c>
    </row>
    <row r="1189" spans="1:10" x14ac:dyDescent="0.25">
      <c r="A1189" t="s">
        <v>6</v>
      </c>
      <c r="B1189" t="s">
        <v>11</v>
      </c>
      <c r="C1189" t="s">
        <v>611</v>
      </c>
      <c r="D1189">
        <v>713360</v>
      </c>
      <c r="E1189" t="s">
        <v>612</v>
      </c>
      <c r="F1189">
        <v>48.167499999999997</v>
      </c>
      <c r="G1189">
        <v>-52.939399999999999</v>
      </c>
      <c r="H1189">
        <v>-3.5</v>
      </c>
      <c r="I1189">
        <v>17</v>
      </c>
      <c r="J1189" t="str">
        <f>HYPERLINK("https://climate.onebuilding.org/WMO_Region_4_North_and_Central_America/CAN_Canada/NL_Newfoundland_and_Labrador/CAN_NL_Grates.Cove.713360_TMYx.2004-2018.zip")</f>
        <v>https://climate.onebuilding.org/WMO_Region_4_North_and_Central_America/CAN_Canada/NL_Newfoundland_and_Labrador/CAN_NL_Grates.Cove.713360_TMYx.2004-2018.zip</v>
      </c>
    </row>
    <row r="1190" spans="1:10" x14ac:dyDescent="0.25">
      <c r="A1190" t="s">
        <v>6</v>
      </c>
      <c r="B1190" t="s">
        <v>11</v>
      </c>
      <c r="C1190" t="s">
        <v>611</v>
      </c>
      <c r="D1190">
        <v>713360</v>
      </c>
      <c r="E1190" t="s">
        <v>10</v>
      </c>
      <c r="F1190">
        <v>48.167470000000002</v>
      </c>
      <c r="G1190">
        <v>-52.939349999999997</v>
      </c>
      <c r="H1190">
        <v>-3.5</v>
      </c>
      <c r="I1190">
        <v>17</v>
      </c>
      <c r="J1190" t="str">
        <f>HYPERLINK("https://climate.onebuilding.org/WMO_Region_4_North_and_Central_America/CAN_Canada/NL_Newfoundland_and_Labrador/CAN_NL_Grates.Cove.713360_TMYx.2007-2021.zip")</f>
        <v>https://climate.onebuilding.org/WMO_Region_4_North_and_Central_America/CAN_Canada/NL_Newfoundland_and_Labrador/CAN_NL_Grates.Cove.713360_TMYx.2007-2021.zip</v>
      </c>
    </row>
    <row r="1191" spans="1:10" x14ac:dyDescent="0.25">
      <c r="A1191" t="s">
        <v>6</v>
      </c>
      <c r="B1191" t="s">
        <v>11</v>
      </c>
      <c r="C1191" t="s">
        <v>611</v>
      </c>
      <c r="D1191">
        <v>713360</v>
      </c>
      <c r="E1191" t="s">
        <v>10</v>
      </c>
      <c r="F1191">
        <v>48.167470000000002</v>
      </c>
      <c r="G1191">
        <v>-52.939349999999997</v>
      </c>
      <c r="H1191">
        <v>-3.5</v>
      </c>
      <c r="I1191">
        <v>17</v>
      </c>
      <c r="J1191" t="str">
        <f>HYPERLINK("https://climate.onebuilding.org/WMO_Region_4_North_and_Central_America/CAN_Canada/NL_Newfoundland_and_Labrador/CAN_NL_Grates.Cove.713360_TMYx.2009-2023.zip")</f>
        <v>https://climate.onebuilding.org/WMO_Region_4_North_and_Central_America/CAN_Canada/NL_Newfoundland_and_Labrador/CAN_NL_Grates.Cove.713360_TMYx.2009-2023.zip</v>
      </c>
    </row>
    <row r="1192" spans="1:10" x14ac:dyDescent="0.25">
      <c r="A1192" t="s">
        <v>6</v>
      </c>
      <c r="B1192" t="s">
        <v>11</v>
      </c>
      <c r="C1192" t="s">
        <v>611</v>
      </c>
      <c r="D1192">
        <v>713360</v>
      </c>
      <c r="E1192" t="s">
        <v>10</v>
      </c>
      <c r="F1192">
        <v>48.167470000000002</v>
      </c>
      <c r="G1192">
        <v>-52.939349999999997</v>
      </c>
      <c r="H1192">
        <v>-3.5</v>
      </c>
      <c r="I1192">
        <v>17</v>
      </c>
      <c r="J1192" t="str">
        <f>HYPERLINK("https://climate.onebuilding.org/WMO_Region_4_North_and_Central_America/CAN_Canada/NL_Newfoundland_and_Labrador/CAN_NL_Grates.Cove.713360_TMYx.zip")</f>
        <v>https://climate.onebuilding.org/WMO_Region_4_North_and_Central_America/CAN_Canada/NL_Newfoundland_and_Labrador/CAN_NL_Grates.Cove.713360_TMYx.zip</v>
      </c>
    </row>
    <row r="1193" spans="1:10" x14ac:dyDescent="0.25">
      <c r="A1193" t="s">
        <v>6</v>
      </c>
      <c r="B1193" t="s">
        <v>11</v>
      </c>
      <c r="C1193" t="s">
        <v>613</v>
      </c>
      <c r="D1193">
        <v>713370</v>
      </c>
      <c r="E1193" t="s">
        <v>614</v>
      </c>
      <c r="F1193">
        <v>49.916699999999999</v>
      </c>
      <c r="G1193">
        <v>-55.666699999999999</v>
      </c>
      <c r="H1193">
        <v>-3.5</v>
      </c>
      <c r="I1193">
        <v>194</v>
      </c>
      <c r="J1193" t="str">
        <f>HYPERLINK("https://climate.onebuilding.org/WMO_Region_4_North_and_Central_America/CAN_Canada/NL_Newfoundland_and_Labrador/CAN_NL_La.Scie.713370_TMYx.2004-2018.zip")</f>
        <v>https://climate.onebuilding.org/WMO_Region_4_North_and_Central_America/CAN_Canada/NL_Newfoundland_and_Labrador/CAN_NL_La.Scie.713370_TMYx.2004-2018.zip</v>
      </c>
    </row>
    <row r="1194" spans="1:10" x14ac:dyDescent="0.25">
      <c r="A1194" t="s">
        <v>6</v>
      </c>
      <c r="B1194" t="s">
        <v>11</v>
      </c>
      <c r="C1194" t="s">
        <v>613</v>
      </c>
      <c r="D1194">
        <v>713370</v>
      </c>
      <c r="E1194" t="s">
        <v>10</v>
      </c>
      <c r="F1194">
        <v>49.912779999999998</v>
      </c>
      <c r="G1194">
        <v>-55.671390000000002</v>
      </c>
      <c r="H1194">
        <v>-3.5</v>
      </c>
      <c r="I1194">
        <v>194</v>
      </c>
      <c r="J1194" t="str">
        <f>HYPERLINK("https://climate.onebuilding.org/WMO_Region_4_North_and_Central_America/CAN_Canada/NL_Newfoundland_and_Labrador/CAN_NL_La.Scie.713370_TMYx.2007-2021.zip")</f>
        <v>https://climate.onebuilding.org/WMO_Region_4_North_and_Central_America/CAN_Canada/NL_Newfoundland_and_Labrador/CAN_NL_La.Scie.713370_TMYx.2007-2021.zip</v>
      </c>
    </row>
    <row r="1195" spans="1:10" x14ac:dyDescent="0.25">
      <c r="A1195" t="s">
        <v>6</v>
      </c>
      <c r="B1195" t="s">
        <v>11</v>
      </c>
      <c r="C1195" t="s">
        <v>613</v>
      </c>
      <c r="D1195">
        <v>713370</v>
      </c>
      <c r="E1195" t="s">
        <v>10</v>
      </c>
      <c r="F1195">
        <v>49.912779999999998</v>
      </c>
      <c r="G1195">
        <v>-55.671390000000002</v>
      </c>
      <c r="H1195">
        <v>-3.5</v>
      </c>
      <c r="I1195">
        <v>194</v>
      </c>
      <c r="J1195" t="str">
        <f>HYPERLINK("https://climate.onebuilding.org/WMO_Region_4_North_and_Central_America/CAN_Canada/NL_Newfoundland_and_Labrador/CAN_NL_La.Scie.713370_TMYx.2009-2023.zip")</f>
        <v>https://climate.onebuilding.org/WMO_Region_4_North_and_Central_America/CAN_Canada/NL_Newfoundland_and_Labrador/CAN_NL_La.Scie.713370_TMYx.2009-2023.zip</v>
      </c>
    </row>
    <row r="1196" spans="1:10" x14ac:dyDescent="0.25">
      <c r="A1196" t="s">
        <v>6</v>
      </c>
      <c r="B1196" t="s">
        <v>11</v>
      </c>
      <c r="C1196" t="s">
        <v>613</v>
      </c>
      <c r="D1196">
        <v>713370</v>
      </c>
      <c r="E1196" t="s">
        <v>10</v>
      </c>
      <c r="F1196">
        <v>49.912779999999998</v>
      </c>
      <c r="G1196">
        <v>-55.671390000000002</v>
      </c>
      <c r="H1196">
        <v>-3.5</v>
      </c>
      <c r="I1196">
        <v>194</v>
      </c>
      <c r="J1196" t="str">
        <f>HYPERLINK("https://climate.onebuilding.org/WMO_Region_4_North_and_Central_America/CAN_Canada/NL_Newfoundland_and_Labrador/CAN_NL_La.Scie.713370_TMYx.zip")</f>
        <v>https://climate.onebuilding.org/WMO_Region_4_North_and_Central_America/CAN_Canada/NL_Newfoundland_and_Labrador/CAN_NL_La.Scie.713370_TMYx.zip</v>
      </c>
    </row>
    <row r="1197" spans="1:10" x14ac:dyDescent="0.25">
      <c r="A1197" t="s">
        <v>6</v>
      </c>
      <c r="B1197" t="s">
        <v>11</v>
      </c>
      <c r="C1197" t="s">
        <v>615</v>
      </c>
      <c r="D1197">
        <v>713390</v>
      </c>
      <c r="E1197" t="s">
        <v>616</v>
      </c>
      <c r="F1197">
        <v>52.303600000000003</v>
      </c>
      <c r="G1197">
        <v>-55.832500000000003</v>
      </c>
      <c r="H1197">
        <v>-3.5</v>
      </c>
      <c r="I1197">
        <v>11.6</v>
      </c>
      <c r="J1197" t="str">
        <f>HYPERLINK("https://climate.onebuilding.org/WMO_Region_4_North_and_Central_America/CAN_Canada/NL_Newfoundland_and_Labrador/CAN_NL_Marys.Harbour.AP.713390_TMYx.2004-2018.zip")</f>
        <v>https://climate.onebuilding.org/WMO_Region_4_North_and_Central_America/CAN_Canada/NL_Newfoundland_and_Labrador/CAN_NL_Marys.Harbour.AP.713390_TMYx.2004-2018.zip</v>
      </c>
    </row>
    <row r="1198" spans="1:10" x14ac:dyDescent="0.25">
      <c r="A1198" t="s">
        <v>6</v>
      </c>
      <c r="B1198" t="s">
        <v>11</v>
      </c>
      <c r="C1198" t="s">
        <v>615</v>
      </c>
      <c r="D1198">
        <v>713390</v>
      </c>
      <c r="E1198" t="s">
        <v>10</v>
      </c>
      <c r="F1198">
        <v>52.303600000000003</v>
      </c>
      <c r="G1198">
        <v>-55.832500000000003</v>
      </c>
      <c r="H1198">
        <v>-3.5</v>
      </c>
      <c r="I1198">
        <v>11.6</v>
      </c>
      <c r="J1198" t="str">
        <f>HYPERLINK("https://climate.onebuilding.org/WMO_Region_4_North_and_Central_America/CAN_Canada/NL_Newfoundland_and_Labrador/CAN_NL_Marys.Harbour.AP.713390_TMYx.2007-2021.zip")</f>
        <v>https://climate.onebuilding.org/WMO_Region_4_North_and_Central_America/CAN_Canada/NL_Newfoundland_and_Labrador/CAN_NL_Marys.Harbour.AP.713390_TMYx.2007-2021.zip</v>
      </c>
    </row>
    <row r="1199" spans="1:10" x14ac:dyDescent="0.25">
      <c r="A1199" t="s">
        <v>6</v>
      </c>
      <c r="B1199" t="s">
        <v>11</v>
      </c>
      <c r="C1199" t="s">
        <v>615</v>
      </c>
      <c r="D1199">
        <v>713390</v>
      </c>
      <c r="E1199" t="s">
        <v>10</v>
      </c>
      <c r="F1199">
        <v>52.303600000000003</v>
      </c>
      <c r="G1199">
        <v>-55.832500000000003</v>
      </c>
      <c r="H1199">
        <v>-3.5</v>
      </c>
      <c r="I1199">
        <v>11.6</v>
      </c>
      <c r="J1199" t="str">
        <f>HYPERLINK("https://climate.onebuilding.org/WMO_Region_4_North_and_Central_America/CAN_Canada/NL_Newfoundland_and_Labrador/CAN_NL_Marys.Harbour.AP.713390_TMYx.2009-2023.zip")</f>
        <v>https://climate.onebuilding.org/WMO_Region_4_North_and_Central_America/CAN_Canada/NL_Newfoundland_and_Labrador/CAN_NL_Marys.Harbour.AP.713390_TMYx.2009-2023.zip</v>
      </c>
    </row>
    <row r="1200" spans="1:10" x14ac:dyDescent="0.25">
      <c r="A1200" t="s">
        <v>6</v>
      </c>
      <c r="B1200" t="s">
        <v>11</v>
      </c>
      <c r="C1200" t="s">
        <v>615</v>
      </c>
      <c r="D1200">
        <v>713390</v>
      </c>
      <c r="E1200" t="s">
        <v>10</v>
      </c>
      <c r="F1200">
        <v>52.303600000000003</v>
      </c>
      <c r="G1200">
        <v>-55.832500000000003</v>
      </c>
      <c r="H1200">
        <v>-3.5</v>
      </c>
      <c r="I1200">
        <v>11.6</v>
      </c>
      <c r="J1200" t="str">
        <f>HYPERLINK("https://climate.onebuilding.org/WMO_Region_4_North_and_Central_America/CAN_Canada/NL_Newfoundland_and_Labrador/CAN_NL_Marys.Harbour.AP.713390_TMYx.zip")</f>
        <v>https://climate.onebuilding.org/WMO_Region_4_North_and_Central_America/CAN_Canada/NL_Newfoundland_and_Labrador/CAN_NL_Marys.Harbour.AP.713390_TMYx.zip</v>
      </c>
    </row>
    <row r="1201" spans="1:10" x14ac:dyDescent="0.25">
      <c r="A1201" t="s">
        <v>6</v>
      </c>
      <c r="B1201" t="s">
        <v>17</v>
      </c>
      <c r="C1201" t="s">
        <v>617</v>
      </c>
      <c r="D1201">
        <v>713400</v>
      </c>
      <c r="E1201" t="s">
        <v>618</v>
      </c>
      <c r="F1201">
        <v>54.316699999999997</v>
      </c>
      <c r="G1201">
        <v>-113.95</v>
      </c>
      <c r="H1201">
        <v>-7</v>
      </c>
      <c r="I1201">
        <v>614.20000000000005</v>
      </c>
      <c r="J1201" t="str">
        <f>HYPERLINK("https://climate.onebuilding.org/WMO_Region_4_North_and_Central_America/CAN_Canada/AB_Alberta/CAN_AB_Dapp.AgDM.713400_TMYx.2004-2018.zip")</f>
        <v>https://climate.onebuilding.org/WMO_Region_4_North_and_Central_America/CAN_Canada/AB_Alberta/CAN_AB_Dapp.AgDM.713400_TMYx.2004-2018.zip</v>
      </c>
    </row>
    <row r="1202" spans="1:10" x14ac:dyDescent="0.25">
      <c r="A1202" t="s">
        <v>6</v>
      </c>
      <c r="B1202" t="s">
        <v>17</v>
      </c>
      <c r="C1202" t="s">
        <v>617</v>
      </c>
      <c r="D1202">
        <v>713400</v>
      </c>
      <c r="E1202" t="s">
        <v>10</v>
      </c>
      <c r="F1202">
        <v>54.329000000000001</v>
      </c>
      <c r="G1202">
        <v>-113.9345</v>
      </c>
      <c r="H1202">
        <v>-7</v>
      </c>
      <c r="I1202">
        <v>614.20000000000005</v>
      </c>
      <c r="J1202" t="str">
        <f>HYPERLINK("https://climate.onebuilding.org/WMO_Region_4_North_and_Central_America/CAN_Canada/AB_Alberta/CAN_AB_Dapp.AgDM.713400_TMYx.2007-2021.zip")</f>
        <v>https://climate.onebuilding.org/WMO_Region_4_North_and_Central_America/CAN_Canada/AB_Alberta/CAN_AB_Dapp.AgDM.713400_TMYx.2007-2021.zip</v>
      </c>
    </row>
    <row r="1203" spans="1:10" x14ac:dyDescent="0.25">
      <c r="A1203" t="s">
        <v>6</v>
      </c>
      <c r="B1203" t="s">
        <v>17</v>
      </c>
      <c r="C1203" t="s">
        <v>617</v>
      </c>
      <c r="D1203">
        <v>713400</v>
      </c>
      <c r="E1203" t="s">
        <v>10</v>
      </c>
      <c r="F1203">
        <v>54.329000000000001</v>
      </c>
      <c r="G1203">
        <v>-113.9345</v>
      </c>
      <c r="H1203">
        <v>-7</v>
      </c>
      <c r="I1203">
        <v>614.20000000000005</v>
      </c>
      <c r="J1203" t="str">
        <f>HYPERLINK("https://climate.onebuilding.org/WMO_Region_4_North_and_Central_America/CAN_Canada/AB_Alberta/CAN_AB_Dapp.AgDM.713400_TMYx.2009-2023.zip")</f>
        <v>https://climate.onebuilding.org/WMO_Region_4_North_and_Central_America/CAN_Canada/AB_Alberta/CAN_AB_Dapp.AgDM.713400_TMYx.2009-2023.zip</v>
      </c>
    </row>
    <row r="1204" spans="1:10" x14ac:dyDescent="0.25">
      <c r="A1204" t="s">
        <v>6</v>
      </c>
      <c r="B1204" t="s">
        <v>17</v>
      </c>
      <c r="C1204" t="s">
        <v>617</v>
      </c>
      <c r="D1204">
        <v>713400</v>
      </c>
      <c r="E1204" t="s">
        <v>10</v>
      </c>
      <c r="F1204">
        <v>54.329000000000001</v>
      </c>
      <c r="G1204">
        <v>-113.9345</v>
      </c>
      <c r="H1204">
        <v>-7</v>
      </c>
      <c r="I1204">
        <v>614.20000000000005</v>
      </c>
      <c r="J1204" t="str">
        <f>HYPERLINK("https://climate.onebuilding.org/WMO_Region_4_North_and_Central_America/CAN_Canada/AB_Alberta/CAN_AB_Dapp.AgDM.713400_TMYx.zip")</f>
        <v>https://climate.onebuilding.org/WMO_Region_4_North_and_Central_America/CAN_Canada/AB_Alberta/CAN_AB_Dapp.AgDM.713400_TMYx.zip</v>
      </c>
    </row>
    <row r="1205" spans="1:10" x14ac:dyDescent="0.25">
      <c r="A1205" t="s">
        <v>6</v>
      </c>
      <c r="B1205" t="s">
        <v>17</v>
      </c>
      <c r="C1205" t="s">
        <v>619</v>
      </c>
      <c r="D1205">
        <v>713410</v>
      </c>
      <c r="E1205" t="s">
        <v>620</v>
      </c>
      <c r="F1205">
        <v>49.616700000000002</v>
      </c>
      <c r="G1205">
        <v>-113.8167</v>
      </c>
      <c r="H1205">
        <v>-7</v>
      </c>
      <c r="I1205">
        <v>1072.7</v>
      </c>
      <c r="J1205" t="str">
        <f>HYPERLINK("https://climate.onebuilding.org/WMO_Region_4_North_and_Central_America/CAN_Canada/AB_Alberta/CAN_AB_Brocket.AgDM.713410_TMYx.2004-2018.zip")</f>
        <v>https://climate.onebuilding.org/WMO_Region_4_North_and_Central_America/CAN_Canada/AB_Alberta/CAN_AB_Brocket.AgDM.713410_TMYx.2004-2018.zip</v>
      </c>
    </row>
    <row r="1206" spans="1:10" x14ac:dyDescent="0.25">
      <c r="A1206" t="s">
        <v>6</v>
      </c>
      <c r="B1206" t="s">
        <v>17</v>
      </c>
      <c r="C1206" t="s">
        <v>619</v>
      </c>
      <c r="D1206">
        <v>713410</v>
      </c>
      <c r="E1206" t="s">
        <v>10</v>
      </c>
      <c r="F1206">
        <v>49.610700000000001</v>
      </c>
      <c r="G1206">
        <v>-113.7591</v>
      </c>
      <c r="H1206">
        <v>-7</v>
      </c>
      <c r="I1206">
        <v>1072.7</v>
      </c>
      <c r="J1206" t="str">
        <f>HYPERLINK("https://climate.onebuilding.org/WMO_Region_4_North_and_Central_America/CAN_Canada/AB_Alberta/CAN_AB_Brocket.AgDM.713410_TMYx.2007-2021.zip")</f>
        <v>https://climate.onebuilding.org/WMO_Region_4_North_and_Central_America/CAN_Canada/AB_Alberta/CAN_AB_Brocket.AgDM.713410_TMYx.2007-2021.zip</v>
      </c>
    </row>
    <row r="1207" spans="1:10" x14ac:dyDescent="0.25">
      <c r="A1207" t="s">
        <v>6</v>
      </c>
      <c r="B1207" t="s">
        <v>17</v>
      </c>
      <c r="C1207" t="s">
        <v>619</v>
      </c>
      <c r="D1207">
        <v>713410</v>
      </c>
      <c r="E1207" t="s">
        <v>10</v>
      </c>
      <c r="F1207">
        <v>49.610700000000001</v>
      </c>
      <c r="G1207">
        <v>-113.7591</v>
      </c>
      <c r="H1207">
        <v>-7</v>
      </c>
      <c r="I1207">
        <v>1072.7</v>
      </c>
      <c r="J1207" t="str">
        <f>HYPERLINK("https://climate.onebuilding.org/WMO_Region_4_North_and_Central_America/CAN_Canada/AB_Alberta/CAN_AB_Brocket.AgDM.713410_TMYx.2009-2023.zip")</f>
        <v>https://climate.onebuilding.org/WMO_Region_4_North_and_Central_America/CAN_Canada/AB_Alberta/CAN_AB_Brocket.AgDM.713410_TMYx.2009-2023.zip</v>
      </c>
    </row>
    <row r="1208" spans="1:10" x14ac:dyDescent="0.25">
      <c r="A1208" t="s">
        <v>6</v>
      </c>
      <c r="B1208" t="s">
        <v>17</v>
      </c>
      <c r="C1208" t="s">
        <v>619</v>
      </c>
      <c r="D1208">
        <v>713410</v>
      </c>
      <c r="E1208" t="s">
        <v>10</v>
      </c>
      <c r="F1208">
        <v>49.610700000000001</v>
      </c>
      <c r="G1208">
        <v>-113.7591</v>
      </c>
      <c r="H1208">
        <v>-7</v>
      </c>
      <c r="I1208">
        <v>1072.7</v>
      </c>
      <c r="J1208" t="str">
        <f>HYPERLINK("https://climate.onebuilding.org/WMO_Region_4_North_and_Central_America/CAN_Canada/AB_Alberta/CAN_AB_Brocket.AgDM.713410_TMYx.zip")</f>
        <v>https://climate.onebuilding.org/WMO_Region_4_North_and_Central_America/CAN_Canada/AB_Alberta/CAN_AB_Brocket.AgDM.713410_TMYx.zip</v>
      </c>
    </row>
    <row r="1209" spans="1:10" x14ac:dyDescent="0.25">
      <c r="A1209" t="s">
        <v>6</v>
      </c>
      <c r="B1209" t="s">
        <v>17</v>
      </c>
      <c r="C1209" t="s">
        <v>621</v>
      </c>
      <c r="D1209">
        <v>713420</v>
      </c>
      <c r="E1209" t="s">
        <v>622</v>
      </c>
      <c r="F1209">
        <v>51.383299999999998</v>
      </c>
      <c r="G1209">
        <v>-110.35</v>
      </c>
      <c r="H1209">
        <v>-7</v>
      </c>
      <c r="I1209">
        <v>766.7</v>
      </c>
      <c r="J1209" t="str">
        <f>HYPERLINK("https://climate.onebuilding.org/WMO_Region_4_North_and_Central_America/CAN_Canada/AB_Alberta/CAN_AB_Oyen.AgDM.713420_TMYx.2004-2018.zip")</f>
        <v>https://climate.onebuilding.org/WMO_Region_4_North_and_Central_America/CAN_Canada/AB_Alberta/CAN_AB_Oyen.AgDM.713420_TMYx.2004-2018.zip</v>
      </c>
    </row>
    <row r="1210" spans="1:10" x14ac:dyDescent="0.25">
      <c r="A1210" t="s">
        <v>6</v>
      </c>
      <c r="B1210" t="s">
        <v>17</v>
      </c>
      <c r="C1210" t="s">
        <v>621</v>
      </c>
      <c r="D1210">
        <v>713420</v>
      </c>
      <c r="E1210" t="s">
        <v>10</v>
      </c>
      <c r="F1210">
        <v>51.3797</v>
      </c>
      <c r="G1210">
        <v>-110.3552</v>
      </c>
      <c r="H1210">
        <v>-7</v>
      </c>
      <c r="I1210">
        <v>766.7</v>
      </c>
      <c r="J1210" t="str">
        <f>HYPERLINK("https://climate.onebuilding.org/WMO_Region_4_North_and_Central_America/CAN_Canada/AB_Alberta/CAN_AB_Oyen.AgDM.713420_TMYx.2007-2021.zip")</f>
        <v>https://climate.onebuilding.org/WMO_Region_4_North_and_Central_America/CAN_Canada/AB_Alberta/CAN_AB_Oyen.AgDM.713420_TMYx.2007-2021.zip</v>
      </c>
    </row>
    <row r="1211" spans="1:10" x14ac:dyDescent="0.25">
      <c r="A1211" t="s">
        <v>6</v>
      </c>
      <c r="B1211" t="s">
        <v>17</v>
      </c>
      <c r="C1211" t="s">
        <v>621</v>
      </c>
      <c r="D1211">
        <v>713420</v>
      </c>
      <c r="E1211" t="s">
        <v>10</v>
      </c>
      <c r="F1211">
        <v>51.3797</v>
      </c>
      <c r="G1211">
        <v>-110.3552</v>
      </c>
      <c r="H1211">
        <v>-7</v>
      </c>
      <c r="I1211">
        <v>766.7</v>
      </c>
      <c r="J1211" t="str">
        <f>HYPERLINK("https://climate.onebuilding.org/WMO_Region_4_North_and_Central_America/CAN_Canada/AB_Alberta/CAN_AB_Oyen.AgDM.713420_TMYx.2009-2023.zip")</f>
        <v>https://climate.onebuilding.org/WMO_Region_4_North_and_Central_America/CAN_Canada/AB_Alberta/CAN_AB_Oyen.AgDM.713420_TMYx.2009-2023.zip</v>
      </c>
    </row>
    <row r="1212" spans="1:10" x14ac:dyDescent="0.25">
      <c r="A1212" t="s">
        <v>6</v>
      </c>
      <c r="B1212" t="s">
        <v>17</v>
      </c>
      <c r="C1212" t="s">
        <v>621</v>
      </c>
      <c r="D1212">
        <v>713420</v>
      </c>
      <c r="E1212" t="s">
        <v>10</v>
      </c>
      <c r="F1212">
        <v>51.3797</v>
      </c>
      <c r="G1212">
        <v>-110.3552</v>
      </c>
      <c r="H1212">
        <v>-7</v>
      </c>
      <c r="I1212">
        <v>766.7</v>
      </c>
      <c r="J1212" t="str">
        <f>HYPERLINK("https://climate.onebuilding.org/WMO_Region_4_North_and_Central_America/CAN_Canada/AB_Alberta/CAN_AB_Oyen.AgDM.713420_TMYx.zip")</f>
        <v>https://climate.onebuilding.org/WMO_Region_4_North_and_Central_America/CAN_Canada/AB_Alberta/CAN_AB_Oyen.AgDM.713420_TMYx.zip</v>
      </c>
    </row>
    <row r="1213" spans="1:10" x14ac:dyDescent="0.25">
      <c r="A1213" t="s">
        <v>6</v>
      </c>
      <c r="B1213" t="s">
        <v>17</v>
      </c>
      <c r="C1213" t="s">
        <v>623</v>
      </c>
      <c r="D1213">
        <v>713430</v>
      </c>
      <c r="E1213" t="s">
        <v>624</v>
      </c>
      <c r="F1213">
        <v>49.5</v>
      </c>
      <c r="G1213">
        <v>-112.11669999999999</v>
      </c>
      <c r="H1213">
        <v>-7</v>
      </c>
      <c r="I1213">
        <v>943.9</v>
      </c>
      <c r="J1213" t="str">
        <f>HYPERLINK("https://climate.onebuilding.org/WMO_Region_4_North_and_Central_America/CAN_Canada/AB_Alberta/CAN_AB_Wrentham.AgDM.713430_TMYx.2004-2018.zip")</f>
        <v>https://climate.onebuilding.org/WMO_Region_4_North_and_Central_America/CAN_Canada/AB_Alberta/CAN_AB_Wrentham.AgDM.713430_TMYx.2004-2018.zip</v>
      </c>
    </row>
    <row r="1214" spans="1:10" x14ac:dyDescent="0.25">
      <c r="A1214" t="s">
        <v>6</v>
      </c>
      <c r="B1214" t="s">
        <v>17</v>
      </c>
      <c r="C1214" t="s">
        <v>623</v>
      </c>
      <c r="D1214">
        <v>713430</v>
      </c>
      <c r="E1214" t="s">
        <v>10</v>
      </c>
      <c r="F1214">
        <v>49.495199999999997</v>
      </c>
      <c r="G1214">
        <v>-112.113</v>
      </c>
      <c r="H1214">
        <v>-7</v>
      </c>
      <c r="I1214">
        <v>943.9</v>
      </c>
      <c r="J1214" t="str">
        <f>HYPERLINK("https://climate.onebuilding.org/WMO_Region_4_North_and_Central_America/CAN_Canada/AB_Alberta/CAN_AB_Wrentham.AgDM.713430_TMYx.2007-2021.zip")</f>
        <v>https://climate.onebuilding.org/WMO_Region_4_North_and_Central_America/CAN_Canada/AB_Alberta/CAN_AB_Wrentham.AgDM.713430_TMYx.2007-2021.zip</v>
      </c>
    </row>
    <row r="1215" spans="1:10" x14ac:dyDescent="0.25">
      <c r="A1215" t="s">
        <v>6</v>
      </c>
      <c r="B1215" t="s">
        <v>17</v>
      </c>
      <c r="C1215" t="s">
        <v>623</v>
      </c>
      <c r="D1215">
        <v>713430</v>
      </c>
      <c r="E1215" t="s">
        <v>10</v>
      </c>
      <c r="F1215">
        <v>49.495199999999997</v>
      </c>
      <c r="G1215">
        <v>-112.113</v>
      </c>
      <c r="H1215">
        <v>-7</v>
      </c>
      <c r="I1215">
        <v>943.9</v>
      </c>
      <c r="J1215" t="str">
        <f>HYPERLINK("https://climate.onebuilding.org/WMO_Region_4_North_and_Central_America/CAN_Canada/AB_Alberta/CAN_AB_Wrentham.AgDM.713430_TMYx.2009-2023.zip")</f>
        <v>https://climate.onebuilding.org/WMO_Region_4_North_and_Central_America/CAN_Canada/AB_Alberta/CAN_AB_Wrentham.AgDM.713430_TMYx.2009-2023.zip</v>
      </c>
    </row>
    <row r="1216" spans="1:10" x14ac:dyDescent="0.25">
      <c r="A1216" t="s">
        <v>6</v>
      </c>
      <c r="B1216" t="s">
        <v>17</v>
      </c>
      <c r="C1216" t="s">
        <v>623</v>
      </c>
      <c r="D1216">
        <v>713430</v>
      </c>
      <c r="E1216" t="s">
        <v>10</v>
      </c>
      <c r="F1216">
        <v>49.495199999999997</v>
      </c>
      <c r="G1216">
        <v>-112.113</v>
      </c>
      <c r="H1216">
        <v>-7</v>
      </c>
      <c r="I1216">
        <v>943.9</v>
      </c>
      <c r="J1216" t="str">
        <f>HYPERLINK("https://climate.onebuilding.org/WMO_Region_4_North_and_Central_America/CAN_Canada/AB_Alberta/CAN_AB_Wrentham.AgDM.713430_TMYx.zip")</f>
        <v>https://climate.onebuilding.org/WMO_Region_4_North_and_Central_America/CAN_Canada/AB_Alberta/CAN_AB_Wrentham.AgDM.713430_TMYx.zip</v>
      </c>
    </row>
    <row r="1217" spans="1:10" x14ac:dyDescent="0.25">
      <c r="A1217" t="s">
        <v>6</v>
      </c>
      <c r="B1217" t="s">
        <v>17</v>
      </c>
      <c r="C1217" t="s">
        <v>625</v>
      </c>
      <c r="D1217">
        <v>713440</v>
      </c>
      <c r="E1217" t="s">
        <v>626</v>
      </c>
      <c r="F1217">
        <v>51.183300000000003</v>
      </c>
      <c r="G1217">
        <v>-112.5</v>
      </c>
      <c r="H1217">
        <v>-7</v>
      </c>
      <c r="I1217">
        <v>971.2</v>
      </c>
      <c r="J1217" t="str">
        <f>HYPERLINK("https://climate.onebuilding.org/WMO_Region_4_North_and_Central_America/CAN_Canada/AB_Alberta/CAN_AB_Hussar.AgDM.713440_TMYx.2004-2018.zip")</f>
        <v>https://climate.onebuilding.org/WMO_Region_4_North_and_Central_America/CAN_Canada/AB_Alberta/CAN_AB_Hussar.AgDM.713440_TMYx.2004-2018.zip</v>
      </c>
    </row>
    <row r="1218" spans="1:10" x14ac:dyDescent="0.25">
      <c r="A1218" t="s">
        <v>6</v>
      </c>
      <c r="B1218" t="s">
        <v>17</v>
      </c>
      <c r="C1218" t="s">
        <v>625</v>
      </c>
      <c r="D1218">
        <v>713440</v>
      </c>
      <c r="E1218" t="s">
        <v>10</v>
      </c>
      <c r="F1218">
        <v>51.191099999999999</v>
      </c>
      <c r="G1218">
        <v>-112.5027</v>
      </c>
      <c r="H1218">
        <v>-7</v>
      </c>
      <c r="I1218">
        <v>971.2</v>
      </c>
      <c r="J1218" t="str">
        <f>HYPERLINK("https://climate.onebuilding.org/WMO_Region_4_North_and_Central_America/CAN_Canada/AB_Alberta/CAN_AB_Hussar.AgDM.713440_TMYx.2007-2021.zip")</f>
        <v>https://climate.onebuilding.org/WMO_Region_4_North_and_Central_America/CAN_Canada/AB_Alberta/CAN_AB_Hussar.AgDM.713440_TMYx.2007-2021.zip</v>
      </c>
    </row>
    <row r="1219" spans="1:10" x14ac:dyDescent="0.25">
      <c r="A1219" t="s">
        <v>6</v>
      </c>
      <c r="B1219" t="s">
        <v>17</v>
      </c>
      <c r="C1219" t="s">
        <v>625</v>
      </c>
      <c r="D1219">
        <v>713440</v>
      </c>
      <c r="E1219" t="s">
        <v>10</v>
      </c>
      <c r="F1219">
        <v>51.191099999999999</v>
      </c>
      <c r="G1219">
        <v>-112.5027</v>
      </c>
      <c r="H1219">
        <v>-7</v>
      </c>
      <c r="I1219">
        <v>971.2</v>
      </c>
      <c r="J1219" t="str">
        <f>HYPERLINK("https://climate.onebuilding.org/WMO_Region_4_North_and_Central_America/CAN_Canada/AB_Alberta/CAN_AB_Hussar.AgDM.713440_TMYx.2009-2023.zip")</f>
        <v>https://climate.onebuilding.org/WMO_Region_4_North_and_Central_America/CAN_Canada/AB_Alberta/CAN_AB_Hussar.AgDM.713440_TMYx.2009-2023.zip</v>
      </c>
    </row>
    <row r="1220" spans="1:10" x14ac:dyDescent="0.25">
      <c r="A1220" t="s">
        <v>6</v>
      </c>
      <c r="B1220" t="s">
        <v>17</v>
      </c>
      <c r="C1220" t="s">
        <v>625</v>
      </c>
      <c r="D1220">
        <v>713440</v>
      </c>
      <c r="E1220" t="s">
        <v>10</v>
      </c>
      <c r="F1220">
        <v>51.191099999999999</v>
      </c>
      <c r="G1220">
        <v>-112.5027</v>
      </c>
      <c r="H1220">
        <v>-7</v>
      </c>
      <c r="I1220">
        <v>971.2</v>
      </c>
      <c r="J1220" t="str">
        <f>HYPERLINK("https://climate.onebuilding.org/WMO_Region_4_North_and_Central_America/CAN_Canada/AB_Alberta/CAN_AB_Hussar.AgDM.713440_TMYx.zip")</f>
        <v>https://climate.onebuilding.org/WMO_Region_4_North_and_Central_America/CAN_Canada/AB_Alberta/CAN_AB_Hussar.AgDM.713440_TMYx.zip</v>
      </c>
    </row>
    <row r="1221" spans="1:10" x14ac:dyDescent="0.25">
      <c r="A1221" t="s">
        <v>6</v>
      </c>
      <c r="B1221" t="s">
        <v>17</v>
      </c>
      <c r="C1221" t="s">
        <v>627</v>
      </c>
      <c r="D1221">
        <v>713450</v>
      </c>
      <c r="E1221" t="s">
        <v>628</v>
      </c>
      <c r="F1221">
        <v>49.136699999999998</v>
      </c>
      <c r="G1221">
        <v>-111.65170000000001</v>
      </c>
      <c r="H1221">
        <v>-7</v>
      </c>
      <c r="I1221">
        <v>947.9</v>
      </c>
      <c r="J1221" t="str">
        <f>HYPERLINK("https://climate.onebuilding.org/WMO_Region_4_North_and_Central_America/CAN_Canada/AB_Alberta/CAN_AB_Masinasin.AgDM.713450_TMYx.2004-2018.zip")</f>
        <v>https://climate.onebuilding.org/WMO_Region_4_North_and_Central_America/CAN_Canada/AB_Alberta/CAN_AB_Masinasin.AgDM.713450_TMYx.2004-2018.zip</v>
      </c>
    </row>
    <row r="1222" spans="1:10" x14ac:dyDescent="0.25">
      <c r="A1222" t="s">
        <v>6</v>
      </c>
      <c r="B1222" t="s">
        <v>17</v>
      </c>
      <c r="C1222" t="s">
        <v>627</v>
      </c>
      <c r="D1222">
        <v>713450</v>
      </c>
      <c r="E1222" t="s">
        <v>10</v>
      </c>
      <c r="F1222">
        <v>49.136699999999998</v>
      </c>
      <c r="G1222">
        <v>-111.65170000000001</v>
      </c>
      <c r="H1222">
        <v>-7</v>
      </c>
      <c r="I1222">
        <v>947.9</v>
      </c>
      <c r="J1222" t="str">
        <f>HYPERLINK("https://climate.onebuilding.org/WMO_Region_4_North_and_Central_America/CAN_Canada/AB_Alberta/CAN_AB_Masinasin.AgDM.713450_TMYx.2007-2021.zip")</f>
        <v>https://climate.onebuilding.org/WMO_Region_4_North_and_Central_America/CAN_Canada/AB_Alberta/CAN_AB_Masinasin.AgDM.713450_TMYx.2007-2021.zip</v>
      </c>
    </row>
    <row r="1223" spans="1:10" x14ac:dyDescent="0.25">
      <c r="A1223" t="s">
        <v>6</v>
      </c>
      <c r="B1223" t="s">
        <v>17</v>
      </c>
      <c r="C1223" t="s">
        <v>627</v>
      </c>
      <c r="D1223">
        <v>713450</v>
      </c>
      <c r="E1223" t="s">
        <v>10</v>
      </c>
      <c r="F1223">
        <v>49.136699999999998</v>
      </c>
      <c r="G1223">
        <v>-111.65170000000001</v>
      </c>
      <c r="H1223">
        <v>-7</v>
      </c>
      <c r="I1223">
        <v>947.9</v>
      </c>
      <c r="J1223" t="str">
        <f>HYPERLINK("https://climate.onebuilding.org/WMO_Region_4_North_and_Central_America/CAN_Canada/AB_Alberta/CAN_AB_Masinasin.AgDM.713450_TMYx.2009-2023.zip")</f>
        <v>https://climate.onebuilding.org/WMO_Region_4_North_and_Central_America/CAN_Canada/AB_Alberta/CAN_AB_Masinasin.AgDM.713450_TMYx.2009-2023.zip</v>
      </c>
    </row>
    <row r="1224" spans="1:10" x14ac:dyDescent="0.25">
      <c r="A1224" t="s">
        <v>6</v>
      </c>
      <c r="B1224" t="s">
        <v>17</v>
      </c>
      <c r="C1224" t="s">
        <v>627</v>
      </c>
      <c r="D1224">
        <v>713450</v>
      </c>
      <c r="E1224" t="s">
        <v>10</v>
      </c>
      <c r="F1224">
        <v>49.136699999999998</v>
      </c>
      <c r="G1224">
        <v>-111.65170000000001</v>
      </c>
      <c r="H1224">
        <v>-7</v>
      </c>
      <c r="I1224">
        <v>947.9</v>
      </c>
      <c r="J1224" t="str">
        <f>HYPERLINK("https://climate.onebuilding.org/WMO_Region_4_North_and_Central_America/CAN_Canada/AB_Alberta/CAN_AB_Masinasin.AgDM.713450_TMYx.zip")</f>
        <v>https://climate.onebuilding.org/WMO_Region_4_North_and_Central_America/CAN_Canada/AB_Alberta/CAN_AB_Masinasin.AgDM.713450_TMYx.zip</v>
      </c>
    </row>
    <row r="1225" spans="1:10" x14ac:dyDescent="0.25">
      <c r="A1225" t="s">
        <v>6</v>
      </c>
      <c r="B1225" t="s">
        <v>17</v>
      </c>
      <c r="C1225" t="s">
        <v>629</v>
      </c>
      <c r="D1225">
        <v>713460</v>
      </c>
      <c r="E1225" t="s">
        <v>630</v>
      </c>
      <c r="F1225">
        <v>49.8</v>
      </c>
      <c r="G1225">
        <v>-112.3</v>
      </c>
      <c r="H1225">
        <v>-7</v>
      </c>
      <c r="I1225">
        <v>824.2</v>
      </c>
      <c r="J1225" t="str">
        <f>HYPERLINK("https://climate.onebuilding.org/WMO_Region_4_North_and_Central_America/CAN_Canada/AB_Alberta/CAN_AB_Barnwell.AgDM.713460_TMYx.2004-2018.zip")</f>
        <v>https://climate.onebuilding.org/WMO_Region_4_North_and_Central_America/CAN_Canada/AB_Alberta/CAN_AB_Barnwell.AgDM.713460_TMYx.2004-2018.zip</v>
      </c>
    </row>
    <row r="1226" spans="1:10" x14ac:dyDescent="0.25">
      <c r="A1226" t="s">
        <v>6</v>
      </c>
      <c r="B1226" t="s">
        <v>17</v>
      </c>
      <c r="C1226" t="s">
        <v>629</v>
      </c>
      <c r="D1226">
        <v>713460</v>
      </c>
      <c r="E1226" t="s">
        <v>10</v>
      </c>
      <c r="F1226">
        <v>49.800699999999999</v>
      </c>
      <c r="G1226">
        <v>-112.3026</v>
      </c>
      <c r="H1226">
        <v>-7</v>
      </c>
      <c r="I1226">
        <v>824.2</v>
      </c>
      <c r="J1226" t="str">
        <f>HYPERLINK("https://climate.onebuilding.org/WMO_Region_4_North_and_Central_America/CAN_Canada/AB_Alberta/CAN_AB_Barnwell.AgDM.713460_TMYx.2007-2021.zip")</f>
        <v>https://climate.onebuilding.org/WMO_Region_4_North_and_Central_America/CAN_Canada/AB_Alberta/CAN_AB_Barnwell.AgDM.713460_TMYx.2007-2021.zip</v>
      </c>
    </row>
    <row r="1227" spans="1:10" x14ac:dyDescent="0.25">
      <c r="A1227" t="s">
        <v>6</v>
      </c>
      <c r="B1227" t="s">
        <v>17</v>
      </c>
      <c r="C1227" t="s">
        <v>629</v>
      </c>
      <c r="D1227">
        <v>713460</v>
      </c>
      <c r="E1227" t="s">
        <v>10</v>
      </c>
      <c r="F1227">
        <v>49.800699999999999</v>
      </c>
      <c r="G1227">
        <v>-112.3026</v>
      </c>
      <c r="H1227">
        <v>-7</v>
      </c>
      <c r="I1227">
        <v>824.2</v>
      </c>
      <c r="J1227" t="str">
        <f>HYPERLINK("https://climate.onebuilding.org/WMO_Region_4_North_and_Central_America/CAN_Canada/AB_Alberta/CAN_AB_Barnwell.AgDM.713460_TMYx.2009-2023.zip")</f>
        <v>https://climate.onebuilding.org/WMO_Region_4_North_and_Central_America/CAN_Canada/AB_Alberta/CAN_AB_Barnwell.AgDM.713460_TMYx.2009-2023.zip</v>
      </c>
    </row>
    <row r="1228" spans="1:10" x14ac:dyDescent="0.25">
      <c r="A1228" t="s">
        <v>6</v>
      </c>
      <c r="B1228" t="s">
        <v>17</v>
      </c>
      <c r="C1228" t="s">
        <v>629</v>
      </c>
      <c r="D1228">
        <v>713460</v>
      </c>
      <c r="E1228" t="s">
        <v>10</v>
      </c>
      <c r="F1228">
        <v>49.800699999999999</v>
      </c>
      <c r="G1228">
        <v>-112.3026</v>
      </c>
      <c r="H1228">
        <v>-7</v>
      </c>
      <c r="I1228">
        <v>824.2</v>
      </c>
      <c r="J1228" t="str">
        <f>HYPERLINK("https://climate.onebuilding.org/WMO_Region_4_North_and_Central_America/CAN_Canada/AB_Alberta/CAN_AB_Barnwell.AgDM.713460_TMYx.zip")</f>
        <v>https://climate.onebuilding.org/WMO_Region_4_North_and_Central_America/CAN_Canada/AB_Alberta/CAN_AB_Barnwell.AgDM.713460_TMYx.zip</v>
      </c>
    </row>
    <row r="1229" spans="1:10" x14ac:dyDescent="0.25">
      <c r="A1229" t="s">
        <v>6</v>
      </c>
      <c r="B1229" t="s">
        <v>17</v>
      </c>
      <c r="C1229" t="s">
        <v>631</v>
      </c>
      <c r="D1229">
        <v>713470</v>
      </c>
      <c r="E1229" t="s">
        <v>632</v>
      </c>
      <c r="F1229">
        <v>56.067</v>
      </c>
      <c r="G1229">
        <v>-118.43300000000001</v>
      </c>
      <c r="H1229">
        <v>-7</v>
      </c>
      <c r="I1229">
        <v>655</v>
      </c>
      <c r="J1229" t="str">
        <f>HYPERLINK("https://climate.onebuilding.org/WMO_Region_4_North_and_Central_America/CAN_Canada/AB_Alberta/CAN_AB_Fairview.AgDM.713470_TMYx.2004-2018.zip")</f>
        <v>https://climate.onebuilding.org/WMO_Region_4_North_and_Central_America/CAN_Canada/AB_Alberta/CAN_AB_Fairview.AgDM.713470_TMYx.2004-2018.zip</v>
      </c>
    </row>
    <row r="1230" spans="1:10" x14ac:dyDescent="0.25">
      <c r="A1230" t="s">
        <v>6</v>
      </c>
      <c r="B1230" t="s">
        <v>17</v>
      </c>
      <c r="C1230" t="s">
        <v>631</v>
      </c>
      <c r="D1230">
        <v>713470</v>
      </c>
      <c r="E1230" t="s">
        <v>10</v>
      </c>
      <c r="F1230">
        <v>56.081389999999999</v>
      </c>
      <c r="G1230">
        <v>-118.43940000000001</v>
      </c>
      <c r="H1230">
        <v>-7</v>
      </c>
      <c r="I1230">
        <v>655</v>
      </c>
      <c r="J1230" t="str">
        <f>HYPERLINK("https://climate.onebuilding.org/WMO_Region_4_North_and_Central_America/CAN_Canada/AB_Alberta/CAN_AB_Fairview.AgDM.713470_TMYx.2007-2021.zip")</f>
        <v>https://climate.onebuilding.org/WMO_Region_4_North_and_Central_America/CAN_Canada/AB_Alberta/CAN_AB_Fairview.AgDM.713470_TMYx.2007-2021.zip</v>
      </c>
    </row>
    <row r="1231" spans="1:10" x14ac:dyDescent="0.25">
      <c r="A1231" t="s">
        <v>6</v>
      </c>
      <c r="B1231" t="s">
        <v>17</v>
      </c>
      <c r="C1231" t="s">
        <v>631</v>
      </c>
      <c r="D1231">
        <v>713470</v>
      </c>
      <c r="E1231" t="s">
        <v>10</v>
      </c>
      <c r="F1231">
        <v>56.081389999999999</v>
      </c>
      <c r="G1231">
        <v>-118.43940000000001</v>
      </c>
      <c r="H1231">
        <v>-7</v>
      </c>
      <c r="I1231">
        <v>655</v>
      </c>
      <c r="J1231" t="str">
        <f>HYPERLINK("https://climate.onebuilding.org/WMO_Region_4_North_and_Central_America/CAN_Canada/AB_Alberta/CAN_AB_Fairview.AgDM.713470_TMYx.2009-2023.zip")</f>
        <v>https://climate.onebuilding.org/WMO_Region_4_North_and_Central_America/CAN_Canada/AB_Alberta/CAN_AB_Fairview.AgDM.713470_TMYx.2009-2023.zip</v>
      </c>
    </row>
    <row r="1232" spans="1:10" x14ac:dyDescent="0.25">
      <c r="A1232" t="s">
        <v>6</v>
      </c>
      <c r="B1232" t="s">
        <v>17</v>
      </c>
      <c r="C1232" t="s">
        <v>631</v>
      </c>
      <c r="D1232">
        <v>713470</v>
      </c>
      <c r="E1232" t="s">
        <v>10</v>
      </c>
      <c r="F1232">
        <v>56.081389999999999</v>
      </c>
      <c r="G1232">
        <v>-118.43940000000001</v>
      </c>
      <c r="H1232">
        <v>-7</v>
      </c>
      <c r="I1232">
        <v>655</v>
      </c>
      <c r="J1232" t="str">
        <f>HYPERLINK("https://climate.onebuilding.org/WMO_Region_4_North_and_Central_America/CAN_Canada/AB_Alberta/CAN_AB_Fairview.AgDM.713470_TMYx.zip")</f>
        <v>https://climate.onebuilding.org/WMO_Region_4_North_and_Central_America/CAN_Canada/AB_Alberta/CAN_AB_Fairview.AgDM.713470_TMYx.zip</v>
      </c>
    </row>
    <row r="1233" spans="1:10" x14ac:dyDescent="0.25">
      <c r="A1233" t="s">
        <v>6</v>
      </c>
      <c r="B1233" t="s">
        <v>17</v>
      </c>
      <c r="C1233" t="s">
        <v>633</v>
      </c>
      <c r="D1233">
        <v>713480</v>
      </c>
      <c r="E1233" t="s">
        <v>634</v>
      </c>
      <c r="F1233">
        <v>55.621099999999998</v>
      </c>
      <c r="G1233">
        <v>-118.2931</v>
      </c>
      <c r="H1233">
        <v>-7</v>
      </c>
      <c r="I1233">
        <v>621.20000000000005</v>
      </c>
      <c r="J1233" t="str">
        <f>HYPERLINK("https://climate.onebuilding.org/WMO_Region_4_North_and_Central_America/CAN_Canada/AB_Alberta/CAN_AB_Peoria.AgDM.713480_TMYx.2004-2018.zip")</f>
        <v>https://climate.onebuilding.org/WMO_Region_4_North_and_Central_America/CAN_Canada/AB_Alberta/CAN_AB_Peoria.AgDM.713480_TMYx.2004-2018.zip</v>
      </c>
    </row>
    <row r="1234" spans="1:10" x14ac:dyDescent="0.25">
      <c r="A1234" t="s">
        <v>6</v>
      </c>
      <c r="B1234" t="s">
        <v>17</v>
      </c>
      <c r="C1234" t="s">
        <v>633</v>
      </c>
      <c r="D1234">
        <v>713480</v>
      </c>
      <c r="E1234" t="s">
        <v>10</v>
      </c>
      <c r="F1234">
        <v>55.621099999999998</v>
      </c>
      <c r="G1234">
        <v>-118.2931</v>
      </c>
      <c r="H1234">
        <v>-7</v>
      </c>
      <c r="I1234">
        <v>621.20000000000005</v>
      </c>
      <c r="J1234" t="str">
        <f>HYPERLINK("https://climate.onebuilding.org/WMO_Region_4_North_and_Central_America/CAN_Canada/AB_Alberta/CAN_AB_Peoria.AgDM.713480_TMYx.2007-2021.zip")</f>
        <v>https://climate.onebuilding.org/WMO_Region_4_North_and_Central_America/CAN_Canada/AB_Alberta/CAN_AB_Peoria.AgDM.713480_TMYx.2007-2021.zip</v>
      </c>
    </row>
    <row r="1235" spans="1:10" x14ac:dyDescent="0.25">
      <c r="A1235" t="s">
        <v>6</v>
      </c>
      <c r="B1235" t="s">
        <v>17</v>
      </c>
      <c r="C1235" t="s">
        <v>633</v>
      </c>
      <c r="D1235">
        <v>713480</v>
      </c>
      <c r="E1235" t="s">
        <v>10</v>
      </c>
      <c r="F1235">
        <v>55.621099999999998</v>
      </c>
      <c r="G1235">
        <v>-118.2931</v>
      </c>
      <c r="H1235">
        <v>-7</v>
      </c>
      <c r="I1235">
        <v>621.20000000000005</v>
      </c>
      <c r="J1235" t="str">
        <f>HYPERLINK("https://climate.onebuilding.org/WMO_Region_4_North_and_Central_America/CAN_Canada/AB_Alberta/CAN_AB_Peoria.AgDM.713480_TMYx.2009-2023.zip")</f>
        <v>https://climate.onebuilding.org/WMO_Region_4_North_and_Central_America/CAN_Canada/AB_Alberta/CAN_AB_Peoria.AgDM.713480_TMYx.2009-2023.zip</v>
      </c>
    </row>
    <row r="1236" spans="1:10" x14ac:dyDescent="0.25">
      <c r="A1236" t="s">
        <v>6</v>
      </c>
      <c r="B1236" t="s">
        <v>17</v>
      </c>
      <c r="C1236" t="s">
        <v>633</v>
      </c>
      <c r="D1236">
        <v>713480</v>
      </c>
      <c r="E1236" t="s">
        <v>10</v>
      </c>
      <c r="F1236">
        <v>55.621099999999998</v>
      </c>
      <c r="G1236">
        <v>-118.2931</v>
      </c>
      <c r="H1236">
        <v>-7</v>
      </c>
      <c r="I1236">
        <v>621.20000000000005</v>
      </c>
      <c r="J1236" t="str">
        <f>HYPERLINK("https://climate.onebuilding.org/WMO_Region_4_North_and_Central_America/CAN_Canada/AB_Alberta/CAN_AB_Peoria.AgDM.713480_TMYx.zip")</f>
        <v>https://climate.onebuilding.org/WMO_Region_4_North_and_Central_America/CAN_Canada/AB_Alberta/CAN_AB_Peoria.AgDM.713480_TMYx.zip</v>
      </c>
    </row>
    <row r="1237" spans="1:10" x14ac:dyDescent="0.25">
      <c r="A1237" t="s">
        <v>6</v>
      </c>
      <c r="B1237" t="s">
        <v>17</v>
      </c>
      <c r="C1237" t="s">
        <v>635</v>
      </c>
      <c r="D1237">
        <v>713490</v>
      </c>
      <c r="E1237" t="s">
        <v>636</v>
      </c>
      <c r="F1237">
        <v>54.5</v>
      </c>
      <c r="G1237">
        <v>-111.7</v>
      </c>
      <c r="H1237">
        <v>-7</v>
      </c>
      <c r="I1237">
        <v>585</v>
      </c>
      <c r="J1237" t="str">
        <f>HYPERLINK("https://climate.onebuilding.org/WMO_Region_4_North_and_Central_America/CAN_Canada/AB_Alberta/CAN_AB_Rich.Lake.AgDM.713490_TMYx.2004-2018.zip")</f>
        <v>https://climate.onebuilding.org/WMO_Region_4_North_and_Central_America/CAN_Canada/AB_Alberta/CAN_AB_Rich.Lake.AgDM.713490_TMYx.2004-2018.zip</v>
      </c>
    </row>
    <row r="1238" spans="1:10" x14ac:dyDescent="0.25">
      <c r="A1238" t="s">
        <v>6</v>
      </c>
      <c r="B1238" t="s">
        <v>17</v>
      </c>
      <c r="C1238" t="s">
        <v>635</v>
      </c>
      <c r="D1238">
        <v>713490</v>
      </c>
      <c r="E1238" t="s">
        <v>10</v>
      </c>
      <c r="F1238">
        <v>54.501199999999997</v>
      </c>
      <c r="G1238">
        <v>-111.6914</v>
      </c>
      <c r="H1238">
        <v>-7</v>
      </c>
      <c r="I1238">
        <v>585</v>
      </c>
      <c r="J1238" t="str">
        <f>HYPERLINK("https://climate.onebuilding.org/WMO_Region_4_North_and_Central_America/CAN_Canada/AB_Alberta/CAN_AB_Rich.Lake.AgDM.713490_TMYx.2007-2021.zip")</f>
        <v>https://climate.onebuilding.org/WMO_Region_4_North_and_Central_America/CAN_Canada/AB_Alberta/CAN_AB_Rich.Lake.AgDM.713490_TMYx.2007-2021.zip</v>
      </c>
    </row>
    <row r="1239" spans="1:10" x14ac:dyDescent="0.25">
      <c r="A1239" t="s">
        <v>6</v>
      </c>
      <c r="B1239" t="s">
        <v>17</v>
      </c>
      <c r="C1239" t="s">
        <v>635</v>
      </c>
      <c r="D1239">
        <v>713490</v>
      </c>
      <c r="E1239" t="s">
        <v>10</v>
      </c>
      <c r="F1239">
        <v>54.501199999999997</v>
      </c>
      <c r="G1239">
        <v>-111.6914</v>
      </c>
      <c r="H1239">
        <v>-7</v>
      </c>
      <c r="I1239">
        <v>585</v>
      </c>
      <c r="J1239" t="str">
        <f>HYPERLINK("https://climate.onebuilding.org/WMO_Region_4_North_and_Central_America/CAN_Canada/AB_Alberta/CAN_AB_Rich.Lake.AgDM.713490_TMYx.2009-2023.zip")</f>
        <v>https://climate.onebuilding.org/WMO_Region_4_North_and_Central_America/CAN_Canada/AB_Alberta/CAN_AB_Rich.Lake.AgDM.713490_TMYx.2009-2023.zip</v>
      </c>
    </row>
    <row r="1240" spans="1:10" x14ac:dyDescent="0.25">
      <c r="A1240" t="s">
        <v>6</v>
      </c>
      <c r="B1240" t="s">
        <v>17</v>
      </c>
      <c r="C1240" t="s">
        <v>635</v>
      </c>
      <c r="D1240">
        <v>713490</v>
      </c>
      <c r="E1240" t="s">
        <v>10</v>
      </c>
      <c r="F1240">
        <v>54.501199999999997</v>
      </c>
      <c r="G1240">
        <v>-111.6914</v>
      </c>
      <c r="H1240">
        <v>-7</v>
      </c>
      <c r="I1240">
        <v>585</v>
      </c>
      <c r="J1240" t="str">
        <f>HYPERLINK("https://climate.onebuilding.org/WMO_Region_4_North_and_Central_America/CAN_Canada/AB_Alberta/CAN_AB_Rich.Lake.AgDM.713490_TMYx.zip")</f>
        <v>https://climate.onebuilding.org/WMO_Region_4_North_and_Central_America/CAN_Canada/AB_Alberta/CAN_AB_Rich.Lake.AgDM.713490_TMYx.zip</v>
      </c>
    </row>
    <row r="1241" spans="1:10" x14ac:dyDescent="0.25">
      <c r="A1241" t="s">
        <v>6</v>
      </c>
      <c r="B1241" t="s">
        <v>65</v>
      </c>
      <c r="C1241" t="s">
        <v>637</v>
      </c>
      <c r="D1241">
        <v>713500</v>
      </c>
      <c r="E1241" t="s">
        <v>638</v>
      </c>
      <c r="F1241">
        <v>46.343600000000002</v>
      </c>
      <c r="G1241">
        <v>-63.169699999999999</v>
      </c>
      <c r="H1241">
        <v>-4</v>
      </c>
      <c r="I1241">
        <v>53.6</v>
      </c>
      <c r="J1241" t="str">
        <f>HYPERLINK("https://climate.onebuilding.org/WMO_Region_4_North_and_Central_America/CAN_Canada/PE_Prince_Edward_Island/CAN_PE_Harrington.CDA.CS.713500_TMYx.2004-2018.zip")</f>
        <v>https://climate.onebuilding.org/WMO_Region_4_North_and_Central_America/CAN_Canada/PE_Prince_Edward_Island/CAN_PE_Harrington.CDA.CS.713500_TMYx.2004-2018.zip</v>
      </c>
    </row>
    <row r="1242" spans="1:10" x14ac:dyDescent="0.25">
      <c r="A1242" t="s">
        <v>6</v>
      </c>
      <c r="B1242" t="s">
        <v>65</v>
      </c>
      <c r="C1242" t="s">
        <v>637</v>
      </c>
      <c r="D1242">
        <v>713500</v>
      </c>
      <c r="E1242" t="s">
        <v>10</v>
      </c>
      <c r="F1242">
        <v>46.343600000000002</v>
      </c>
      <c r="G1242">
        <v>-63.169699999999999</v>
      </c>
      <c r="H1242">
        <v>-4</v>
      </c>
      <c r="I1242">
        <v>53.6</v>
      </c>
      <c r="J1242" t="str">
        <f>HYPERLINK("https://climate.onebuilding.org/WMO_Region_4_North_and_Central_America/CAN_Canada/PE_Prince_Edward_Island/CAN_PE_Harrington.CDA.CS.713500_TMYx.2007-2021.zip")</f>
        <v>https://climate.onebuilding.org/WMO_Region_4_North_and_Central_America/CAN_Canada/PE_Prince_Edward_Island/CAN_PE_Harrington.CDA.CS.713500_TMYx.2007-2021.zip</v>
      </c>
    </row>
    <row r="1243" spans="1:10" x14ac:dyDescent="0.25">
      <c r="A1243" t="s">
        <v>6</v>
      </c>
      <c r="B1243" t="s">
        <v>65</v>
      </c>
      <c r="C1243" t="s">
        <v>637</v>
      </c>
      <c r="D1243">
        <v>713500</v>
      </c>
      <c r="E1243" t="s">
        <v>10</v>
      </c>
      <c r="F1243">
        <v>46.343600000000002</v>
      </c>
      <c r="G1243">
        <v>-63.169699999999999</v>
      </c>
      <c r="H1243">
        <v>-4</v>
      </c>
      <c r="I1243">
        <v>53.6</v>
      </c>
      <c r="J1243" t="str">
        <f>HYPERLINK("https://climate.onebuilding.org/WMO_Region_4_North_and_Central_America/CAN_Canada/PE_Prince_Edward_Island/CAN_PE_Harrington.CDA.CS.713500_TMYx.2009-2023.zip")</f>
        <v>https://climate.onebuilding.org/WMO_Region_4_North_and_Central_America/CAN_Canada/PE_Prince_Edward_Island/CAN_PE_Harrington.CDA.CS.713500_TMYx.2009-2023.zip</v>
      </c>
    </row>
    <row r="1244" spans="1:10" x14ac:dyDescent="0.25">
      <c r="A1244" t="s">
        <v>6</v>
      </c>
      <c r="B1244" t="s">
        <v>65</v>
      </c>
      <c r="C1244" t="s">
        <v>637</v>
      </c>
      <c r="D1244">
        <v>713500</v>
      </c>
      <c r="E1244" t="s">
        <v>10</v>
      </c>
      <c r="F1244">
        <v>46.343600000000002</v>
      </c>
      <c r="G1244">
        <v>-63.169699999999999</v>
      </c>
      <c r="H1244">
        <v>-4</v>
      </c>
      <c r="I1244">
        <v>53.6</v>
      </c>
      <c r="J1244" t="str">
        <f>HYPERLINK("https://climate.onebuilding.org/WMO_Region_4_North_and_Central_America/CAN_Canada/PE_Prince_Edward_Island/CAN_PE_Harrington.CDA.CS.713500_TMYx.zip")</f>
        <v>https://climate.onebuilding.org/WMO_Region_4_North_and_Central_America/CAN_Canada/PE_Prince_Edward_Island/CAN_PE_Harrington.CDA.CS.713500_TMYx.zip</v>
      </c>
    </row>
    <row r="1245" spans="1:10" x14ac:dyDescent="0.25">
      <c r="A1245" t="s">
        <v>6</v>
      </c>
      <c r="B1245" t="s">
        <v>17</v>
      </c>
      <c r="C1245" t="s">
        <v>639</v>
      </c>
      <c r="D1245">
        <v>713510</v>
      </c>
      <c r="E1245" t="s">
        <v>640</v>
      </c>
      <c r="F1245">
        <v>53.65</v>
      </c>
      <c r="G1245">
        <v>-113.35</v>
      </c>
      <c r="H1245">
        <v>-7</v>
      </c>
      <c r="I1245">
        <v>665</v>
      </c>
      <c r="J1245" t="str">
        <f>HYPERLINK("https://climate.onebuilding.org/WMO_Region_4_North_and_Central_America/CAN_Canada/AB_Alberta/CAN_AB_Oliver.AgDM.713510_TMYx.2004-2018.zip")</f>
        <v>https://climate.onebuilding.org/WMO_Region_4_North_and_Central_America/CAN_Canada/AB_Alberta/CAN_AB_Oliver.AgDM.713510_TMYx.2004-2018.zip</v>
      </c>
    </row>
    <row r="1246" spans="1:10" x14ac:dyDescent="0.25">
      <c r="A1246" t="s">
        <v>6</v>
      </c>
      <c r="B1246" t="s">
        <v>17</v>
      </c>
      <c r="C1246" t="s">
        <v>639</v>
      </c>
      <c r="D1246">
        <v>713510</v>
      </c>
      <c r="E1246" t="s">
        <v>10</v>
      </c>
      <c r="F1246">
        <v>53.646599999999999</v>
      </c>
      <c r="G1246">
        <v>-113.3546</v>
      </c>
      <c r="H1246">
        <v>-7</v>
      </c>
      <c r="I1246">
        <v>665</v>
      </c>
      <c r="J1246" t="str">
        <f>HYPERLINK("https://climate.onebuilding.org/WMO_Region_4_North_and_Central_America/CAN_Canada/AB_Alberta/CAN_AB_Oliver.AgDM.713510_TMYx.2007-2021.zip")</f>
        <v>https://climate.onebuilding.org/WMO_Region_4_North_and_Central_America/CAN_Canada/AB_Alberta/CAN_AB_Oliver.AgDM.713510_TMYx.2007-2021.zip</v>
      </c>
    </row>
    <row r="1247" spans="1:10" x14ac:dyDescent="0.25">
      <c r="A1247" t="s">
        <v>6</v>
      </c>
      <c r="B1247" t="s">
        <v>17</v>
      </c>
      <c r="C1247" t="s">
        <v>639</v>
      </c>
      <c r="D1247">
        <v>713510</v>
      </c>
      <c r="E1247" t="s">
        <v>10</v>
      </c>
      <c r="F1247">
        <v>53.646599999999999</v>
      </c>
      <c r="G1247">
        <v>-113.3546</v>
      </c>
      <c r="H1247">
        <v>-7</v>
      </c>
      <c r="I1247">
        <v>665</v>
      </c>
      <c r="J1247" t="str">
        <f>HYPERLINK("https://climate.onebuilding.org/WMO_Region_4_North_and_Central_America/CAN_Canada/AB_Alberta/CAN_AB_Oliver.AgDM.713510_TMYx.2009-2023.zip")</f>
        <v>https://climate.onebuilding.org/WMO_Region_4_North_and_Central_America/CAN_Canada/AB_Alberta/CAN_AB_Oliver.AgDM.713510_TMYx.2009-2023.zip</v>
      </c>
    </row>
    <row r="1248" spans="1:10" x14ac:dyDescent="0.25">
      <c r="A1248" t="s">
        <v>6</v>
      </c>
      <c r="B1248" t="s">
        <v>17</v>
      </c>
      <c r="C1248" t="s">
        <v>639</v>
      </c>
      <c r="D1248">
        <v>713510</v>
      </c>
      <c r="E1248" t="s">
        <v>10</v>
      </c>
      <c r="F1248">
        <v>53.646599999999999</v>
      </c>
      <c r="G1248">
        <v>-113.3546</v>
      </c>
      <c r="H1248">
        <v>-7</v>
      </c>
      <c r="I1248">
        <v>665</v>
      </c>
      <c r="J1248" t="str">
        <f>HYPERLINK("https://climate.onebuilding.org/WMO_Region_4_North_and_Central_America/CAN_Canada/AB_Alberta/CAN_AB_Oliver.AgDM.713510_TMYx.zip")</f>
        <v>https://climate.onebuilding.org/WMO_Region_4_North_and_Central_America/CAN_Canada/AB_Alberta/CAN_AB_Oliver.AgDM.713510_TMYx.zip</v>
      </c>
    </row>
    <row r="1249" spans="1:10" x14ac:dyDescent="0.25">
      <c r="A1249" t="s">
        <v>6</v>
      </c>
      <c r="B1249" t="s">
        <v>130</v>
      </c>
      <c r="C1249" t="s">
        <v>641</v>
      </c>
      <c r="D1249">
        <v>713520</v>
      </c>
      <c r="E1249" t="s">
        <v>642</v>
      </c>
      <c r="F1249">
        <v>43.642000000000003</v>
      </c>
      <c r="G1249">
        <v>-80.411699999999996</v>
      </c>
      <c r="H1249">
        <v>-5</v>
      </c>
      <c r="I1249">
        <v>376.4</v>
      </c>
      <c r="J1249" t="str">
        <f>HYPERLINK("https://climate.onebuilding.org/WMO_Region_4_North_and_Central_America/CAN_Canada/ON_Ontario/CAN_ON_Elora.RCS.713520_TMYx.2004-2018.zip")</f>
        <v>https://climate.onebuilding.org/WMO_Region_4_North_and_Central_America/CAN_Canada/ON_Ontario/CAN_ON_Elora.RCS.713520_TMYx.2004-2018.zip</v>
      </c>
    </row>
    <row r="1250" spans="1:10" x14ac:dyDescent="0.25">
      <c r="A1250" t="s">
        <v>6</v>
      </c>
      <c r="B1250" t="s">
        <v>130</v>
      </c>
      <c r="C1250" t="s">
        <v>641</v>
      </c>
      <c r="D1250">
        <v>713520</v>
      </c>
      <c r="E1250" t="s">
        <v>10</v>
      </c>
      <c r="F1250">
        <v>43.642000000000003</v>
      </c>
      <c r="G1250">
        <v>-80.411699999999996</v>
      </c>
      <c r="H1250">
        <v>-5</v>
      </c>
      <c r="I1250">
        <v>376.4</v>
      </c>
      <c r="J1250" t="str">
        <f>HYPERLINK("https://climate.onebuilding.org/WMO_Region_4_North_and_Central_America/CAN_Canada/ON_Ontario/CAN_ON_Elora.RCS.713520_TMYx.2007-2021.zip")</f>
        <v>https://climate.onebuilding.org/WMO_Region_4_North_and_Central_America/CAN_Canada/ON_Ontario/CAN_ON_Elora.RCS.713520_TMYx.2007-2021.zip</v>
      </c>
    </row>
    <row r="1251" spans="1:10" x14ac:dyDescent="0.25">
      <c r="A1251" t="s">
        <v>6</v>
      </c>
      <c r="B1251" t="s">
        <v>130</v>
      </c>
      <c r="C1251" t="s">
        <v>641</v>
      </c>
      <c r="D1251">
        <v>713520</v>
      </c>
      <c r="E1251" t="s">
        <v>10</v>
      </c>
      <c r="F1251">
        <v>43.642000000000003</v>
      </c>
      <c r="G1251">
        <v>-80.411699999999996</v>
      </c>
      <c r="H1251">
        <v>-5</v>
      </c>
      <c r="I1251">
        <v>376.4</v>
      </c>
      <c r="J1251" t="str">
        <f>HYPERLINK("https://climate.onebuilding.org/WMO_Region_4_North_and_Central_America/CAN_Canada/ON_Ontario/CAN_ON_Elora.RCS.713520_TMYx.2009-2023.zip")</f>
        <v>https://climate.onebuilding.org/WMO_Region_4_North_and_Central_America/CAN_Canada/ON_Ontario/CAN_ON_Elora.RCS.713520_TMYx.2009-2023.zip</v>
      </c>
    </row>
    <row r="1252" spans="1:10" x14ac:dyDescent="0.25">
      <c r="A1252" t="s">
        <v>6</v>
      </c>
      <c r="B1252" t="s">
        <v>130</v>
      </c>
      <c r="C1252" t="s">
        <v>641</v>
      </c>
      <c r="D1252">
        <v>713520</v>
      </c>
      <c r="E1252" t="s">
        <v>10</v>
      </c>
      <c r="F1252">
        <v>43.642000000000003</v>
      </c>
      <c r="G1252">
        <v>-80.411699999999996</v>
      </c>
      <c r="H1252">
        <v>-5</v>
      </c>
      <c r="I1252">
        <v>376.4</v>
      </c>
      <c r="J1252" t="str">
        <f>HYPERLINK("https://climate.onebuilding.org/WMO_Region_4_North_and_Central_America/CAN_Canada/ON_Ontario/CAN_ON_Elora.RCS.713520_TMYx.zip")</f>
        <v>https://climate.onebuilding.org/WMO_Region_4_North_and_Central_America/CAN_Canada/ON_Ontario/CAN_ON_Elora.RCS.713520_TMYx.zip</v>
      </c>
    </row>
    <row r="1253" spans="1:10" x14ac:dyDescent="0.25">
      <c r="A1253" t="s">
        <v>6</v>
      </c>
      <c r="B1253" t="s">
        <v>17</v>
      </c>
      <c r="C1253" t="s">
        <v>643</v>
      </c>
      <c r="D1253">
        <v>713530</v>
      </c>
      <c r="E1253" t="s">
        <v>644</v>
      </c>
      <c r="F1253">
        <v>52.433300000000003</v>
      </c>
      <c r="G1253">
        <v>-113.6</v>
      </c>
      <c r="H1253">
        <v>-7</v>
      </c>
      <c r="I1253">
        <v>965</v>
      </c>
      <c r="J1253" t="str">
        <f>HYPERLINK("https://climate.onebuilding.org/WMO_Region_4_North_and_Central_America/CAN_Canada/AB_Alberta/CAN_AB_Prentiss.713530_TMYx.2004-2018.zip")</f>
        <v>https://climate.onebuilding.org/WMO_Region_4_North_and_Central_America/CAN_Canada/AB_Alberta/CAN_AB_Prentiss.713530_TMYx.2004-2018.zip</v>
      </c>
    </row>
    <row r="1254" spans="1:10" x14ac:dyDescent="0.25">
      <c r="A1254" t="s">
        <v>6</v>
      </c>
      <c r="B1254" t="s">
        <v>17</v>
      </c>
      <c r="C1254" t="s">
        <v>643</v>
      </c>
      <c r="D1254">
        <v>713530</v>
      </c>
      <c r="E1254" t="s">
        <v>10</v>
      </c>
      <c r="F1254">
        <v>52.433599999999998</v>
      </c>
      <c r="G1254">
        <v>-113.5921</v>
      </c>
      <c r="H1254">
        <v>-7</v>
      </c>
      <c r="I1254">
        <v>965</v>
      </c>
      <c r="J1254" t="str">
        <f>HYPERLINK("https://climate.onebuilding.org/WMO_Region_4_North_and_Central_America/CAN_Canada/AB_Alberta/CAN_AB_Prentiss.713530_TMYx.2007-2021.zip")</f>
        <v>https://climate.onebuilding.org/WMO_Region_4_North_and_Central_America/CAN_Canada/AB_Alberta/CAN_AB_Prentiss.713530_TMYx.2007-2021.zip</v>
      </c>
    </row>
    <row r="1255" spans="1:10" x14ac:dyDescent="0.25">
      <c r="A1255" t="s">
        <v>6</v>
      </c>
      <c r="B1255" t="s">
        <v>17</v>
      </c>
      <c r="C1255" t="s">
        <v>643</v>
      </c>
      <c r="D1255">
        <v>713530</v>
      </c>
      <c r="E1255" t="s">
        <v>10</v>
      </c>
      <c r="F1255">
        <v>52.433599999999998</v>
      </c>
      <c r="G1255">
        <v>-113.5921</v>
      </c>
      <c r="H1255">
        <v>-7</v>
      </c>
      <c r="I1255">
        <v>965</v>
      </c>
      <c r="J1255" t="str">
        <f>HYPERLINK("https://climate.onebuilding.org/WMO_Region_4_North_and_Central_America/CAN_Canada/AB_Alberta/CAN_AB_Prentiss.713530_TMYx.2009-2023.zip")</f>
        <v>https://climate.onebuilding.org/WMO_Region_4_North_and_Central_America/CAN_Canada/AB_Alberta/CAN_AB_Prentiss.713530_TMYx.2009-2023.zip</v>
      </c>
    </row>
    <row r="1256" spans="1:10" x14ac:dyDescent="0.25">
      <c r="A1256" t="s">
        <v>6</v>
      </c>
      <c r="B1256" t="s">
        <v>17</v>
      </c>
      <c r="C1256" t="s">
        <v>643</v>
      </c>
      <c r="D1256">
        <v>713530</v>
      </c>
      <c r="E1256" t="s">
        <v>10</v>
      </c>
      <c r="F1256">
        <v>52.433599999999998</v>
      </c>
      <c r="G1256">
        <v>-113.5921</v>
      </c>
      <c r="H1256">
        <v>-7</v>
      </c>
      <c r="I1256">
        <v>965</v>
      </c>
      <c r="J1256" t="str">
        <f>HYPERLINK("https://climate.onebuilding.org/WMO_Region_4_North_and_Central_America/CAN_Canada/AB_Alberta/CAN_AB_Prentiss.713530_TMYx.zip")</f>
        <v>https://climate.onebuilding.org/WMO_Region_4_North_and_Central_America/CAN_Canada/AB_Alberta/CAN_AB_Prentiss.713530_TMYx.zip</v>
      </c>
    </row>
    <row r="1257" spans="1:10" x14ac:dyDescent="0.25">
      <c r="A1257" t="s">
        <v>6</v>
      </c>
      <c r="B1257" t="s">
        <v>17</v>
      </c>
      <c r="C1257" t="s">
        <v>645</v>
      </c>
      <c r="D1257">
        <v>713540</v>
      </c>
      <c r="E1257" t="s">
        <v>646</v>
      </c>
      <c r="F1257">
        <v>53.566699999999997</v>
      </c>
      <c r="G1257">
        <v>-112.3</v>
      </c>
      <c r="H1257">
        <v>-7</v>
      </c>
      <c r="I1257">
        <v>683</v>
      </c>
      <c r="J1257" t="str">
        <f>HYPERLINK("https://climate.onebuilding.org/WMO_Region_4_North_and_Central_America/CAN_Canada/AB_Alberta/CAN_AB_Mundare.AgDM.713540_TMYx.2004-2018.zip")</f>
        <v>https://climate.onebuilding.org/WMO_Region_4_North_and_Central_America/CAN_Canada/AB_Alberta/CAN_AB_Mundare.AgDM.713540_TMYx.2004-2018.zip</v>
      </c>
    </row>
    <row r="1258" spans="1:10" x14ac:dyDescent="0.25">
      <c r="A1258" t="s">
        <v>6</v>
      </c>
      <c r="B1258" t="s">
        <v>17</v>
      </c>
      <c r="C1258" t="s">
        <v>645</v>
      </c>
      <c r="D1258">
        <v>713540</v>
      </c>
      <c r="E1258" t="s">
        <v>10</v>
      </c>
      <c r="F1258">
        <v>53.560600000000001</v>
      </c>
      <c r="G1258">
        <v>-112.2961</v>
      </c>
      <c r="H1258">
        <v>-7</v>
      </c>
      <c r="I1258">
        <v>683</v>
      </c>
      <c r="J1258" t="str">
        <f>HYPERLINK("https://climate.onebuilding.org/WMO_Region_4_North_and_Central_America/CAN_Canada/AB_Alberta/CAN_AB_Mundare.AgDM.713540_TMYx.2007-2021.zip")</f>
        <v>https://climate.onebuilding.org/WMO_Region_4_North_and_Central_America/CAN_Canada/AB_Alberta/CAN_AB_Mundare.AgDM.713540_TMYx.2007-2021.zip</v>
      </c>
    </row>
    <row r="1259" spans="1:10" x14ac:dyDescent="0.25">
      <c r="A1259" t="s">
        <v>6</v>
      </c>
      <c r="B1259" t="s">
        <v>17</v>
      </c>
      <c r="C1259" t="s">
        <v>645</v>
      </c>
      <c r="D1259">
        <v>713540</v>
      </c>
      <c r="E1259" t="s">
        <v>10</v>
      </c>
      <c r="F1259">
        <v>53.560600000000001</v>
      </c>
      <c r="G1259">
        <v>-112.2961</v>
      </c>
      <c r="H1259">
        <v>-7</v>
      </c>
      <c r="I1259">
        <v>683</v>
      </c>
      <c r="J1259" t="str">
        <f>HYPERLINK("https://climate.onebuilding.org/WMO_Region_4_North_and_Central_America/CAN_Canada/AB_Alberta/CAN_AB_Mundare.AgDM.713540_TMYx.2009-2023.zip")</f>
        <v>https://climate.onebuilding.org/WMO_Region_4_North_and_Central_America/CAN_Canada/AB_Alberta/CAN_AB_Mundare.AgDM.713540_TMYx.2009-2023.zip</v>
      </c>
    </row>
    <row r="1260" spans="1:10" x14ac:dyDescent="0.25">
      <c r="A1260" t="s">
        <v>6</v>
      </c>
      <c r="B1260" t="s">
        <v>17</v>
      </c>
      <c r="C1260" t="s">
        <v>645</v>
      </c>
      <c r="D1260">
        <v>713540</v>
      </c>
      <c r="E1260" t="s">
        <v>10</v>
      </c>
      <c r="F1260">
        <v>53.560600000000001</v>
      </c>
      <c r="G1260">
        <v>-112.2961</v>
      </c>
      <c r="H1260">
        <v>-7</v>
      </c>
      <c r="I1260">
        <v>683</v>
      </c>
      <c r="J1260" t="str">
        <f>HYPERLINK("https://climate.onebuilding.org/WMO_Region_4_North_and_Central_America/CAN_Canada/AB_Alberta/CAN_AB_Mundare.AgDM.713540_TMYx.zip")</f>
        <v>https://climate.onebuilding.org/WMO_Region_4_North_and_Central_America/CAN_Canada/AB_Alberta/CAN_AB_Mundare.AgDM.713540_TMYx.zip</v>
      </c>
    </row>
    <row r="1261" spans="1:10" x14ac:dyDescent="0.25">
      <c r="A1261" t="s">
        <v>6</v>
      </c>
      <c r="B1261" t="s">
        <v>42</v>
      </c>
      <c r="C1261" t="s">
        <v>647</v>
      </c>
      <c r="D1261">
        <v>713550</v>
      </c>
      <c r="E1261" t="s">
        <v>648</v>
      </c>
      <c r="F1261">
        <v>82.5</v>
      </c>
      <c r="G1261">
        <v>-62.333300000000001</v>
      </c>
      <c r="H1261">
        <v>-5</v>
      </c>
      <c r="I1261">
        <v>65.400000000000006</v>
      </c>
      <c r="J1261" t="str">
        <f>HYPERLINK("https://climate.onebuilding.org/WMO_Region_4_North_and_Central_America/CAN_Canada/NU_Nunavut/CAN_NU_CFB.Alert.713550_TMYx.2004-2018.zip")</f>
        <v>https://climate.onebuilding.org/WMO_Region_4_North_and_Central_America/CAN_Canada/NU_Nunavut/CAN_NU_CFB.Alert.713550_TMYx.2004-2018.zip</v>
      </c>
    </row>
    <row r="1262" spans="1:10" x14ac:dyDescent="0.25">
      <c r="A1262" t="s">
        <v>6</v>
      </c>
      <c r="B1262" t="s">
        <v>42</v>
      </c>
      <c r="C1262" t="s">
        <v>647</v>
      </c>
      <c r="D1262">
        <v>713550</v>
      </c>
      <c r="E1262" t="s">
        <v>10</v>
      </c>
      <c r="F1262">
        <v>82.492999999999995</v>
      </c>
      <c r="G1262">
        <v>-62.35</v>
      </c>
      <c r="H1262">
        <v>-5</v>
      </c>
      <c r="I1262">
        <v>65.400000000000006</v>
      </c>
      <c r="J1262" t="str">
        <f>HYPERLINK("https://climate.onebuilding.org/WMO_Region_4_North_and_Central_America/CAN_Canada/NU_Nunavut/CAN_NU_CFB.Alert.713550_TMYx.2007-2021.zip")</f>
        <v>https://climate.onebuilding.org/WMO_Region_4_North_and_Central_America/CAN_Canada/NU_Nunavut/CAN_NU_CFB.Alert.713550_TMYx.2007-2021.zip</v>
      </c>
    </row>
    <row r="1263" spans="1:10" x14ac:dyDescent="0.25">
      <c r="A1263" t="s">
        <v>6</v>
      </c>
      <c r="B1263" t="s">
        <v>42</v>
      </c>
      <c r="C1263" t="s">
        <v>647</v>
      </c>
      <c r="D1263">
        <v>713550</v>
      </c>
      <c r="E1263" t="s">
        <v>10</v>
      </c>
      <c r="F1263">
        <v>82.492999999999995</v>
      </c>
      <c r="G1263">
        <v>-62.35</v>
      </c>
      <c r="H1263">
        <v>-5</v>
      </c>
      <c r="I1263">
        <v>65.400000000000006</v>
      </c>
      <c r="J1263" t="str">
        <f>HYPERLINK("https://climate.onebuilding.org/WMO_Region_4_North_and_Central_America/CAN_Canada/NU_Nunavut/CAN_NU_CFB.Alert.713550_TMYx.2009-2023.zip")</f>
        <v>https://climate.onebuilding.org/WMO_Region_4_North_and_Central_America/CAN_Canada/NU_Nunavut/CAN_NU_CFB.Alert.713550_TMYx.2009-2023.zip</v>
      </c>
    </row>
    <row r="1264" spans="1:10" x14ac:dyDescent="0.25">
      <c r="A1264" t="s">
        <v>6</v>
      </c>
      <c r="B1264" t="s">
        <v>42</v>
      </c>
      <c r="C1264" t="s">
        <v>647</v>
      </c>
      <c r="D1264">
        <v>713550</v>
      </c>
      <c r="E1264" t="s">
        <v>10</v>
      </c>
      <c r="F1264">
        <v>82.492999999999995</v>
      </c>
      <c r="G1264">
        <v>-62.35</v>
      </c>
      <c r="H1264">
        <v>-5</v>
      </c>
      <c r="I1264">
        <v>65.400000000000006</v>
      </c>
      <c r="J1264" t="str">
        <f>HYPERLINK("https://climate.onebuilding.org/WMO_Region_4_North_and_Central_America/CAN_Canada/NU_Nunavut/CAN_NU_CFB.Alert.713550_TMYx.zip")</f>
        <v>https://climate.onebuilding.org/WMO_Region_4_North_and_Central_America/CAN_Canada/NU_Nunavut/CAN_NU_CFB.Alert.713550_TMYx.zip</v>
      </c>
    </row>
    <row r="1265" spans="1:10" x14ac:dyDescent="0.25">
      <c r="A1265" t="s">
        <v>6</v>
      </c>
      <c r="B1265" t="s">
        <v>42</v>
      </c>
      <c r="C1265" t="s">
        <v>649</v>
      </c>
      <c r="D1265">
        <v>713560</v>
      </c>
      <c r="E1265" t="s">
        <v>10</v>
      </c>
      <c r="F1265">
        <v>64.316699999999997</v>
      </c>
      <c r="G1265">
        <v>-96</v>
      </c>
      <c r="H1265">
        <v>-6</v>
      </c>
      <c r="I1265">
        <v>50.8</v>
      </c>
      <c r="J1265" t="str">
        <f>HYPERLINK("https://climate.onebuilding.org/WMO_Region_4_North_and_Central_America/CAN_Canada/NU_Nunavut/CAN_NU_Baker.Lake.CS.713560_TMYx.2007-2021.zip")</f>
        <v>https://climate.onebuilding.org/WMO_Region_4_North_and_Central_America/CAN_Canada/NU_Nunavut/CAN_NU_Baker.Lake.CS.713560_TMYx.2007-2021.zip</v>
      </c>
    </row>
    <row r="1266" spans="1:10" x14ac:dyDescent="0.25">
      <c r="A1266" t="s">
        <v>6</v>
      </c>
      <c r="B1266" t="s">
        <v>42</v>
      </c>
      <c r="C1266" t="s">
        <v>649</v>
      </c>
      <c r="D1266">
        <v>713560</v>
      </c>
      <c r="E1266" t="s">
        <v>10</v>
      </c>
      <c r="F1266">
        <v>64.316699999999997</v>
      </c>
      <c r="G1266">
        <v>-96</v>
      </c>
      <c r="H1266">
        <v>-6</v>
      </c>
      <c r="I1266">
        <v>50.8</v>
      </c>
      <c r="J1266" t="str">
        <f>HYPERLINK("https://climate.onebuilding.org/WMO_Region_4_North_and_Central_America/CAN_Canada/NU_Nunavut/CAN_NU_Baker.Lake.CS.713560_TMYx.2009-2023.zip")</f>
        <v>https://climate.onebuilding.org/WMO_Region_4_North_and_Central_America/CAN_Canada/NU_Nunavut/CAN_NU_Baker.Lake.CS.713560_TMYx.2009-2023.zip</v>
      </c>
    </row>
    <row r="1267" spans="1:10" x14ac:dyDescent="0.25">
      <c r="A1267" t="s">
        <v>6</v>
      </c>
      <c r="B1267" t="s">
        <v>42</v>
      </c>
      <c r="C1267" t="s">
        <v>649</v>
      </c>
      <c r="D1267">
        <v>713560</v>
      </c>
      <c r="E1267" t="s">
        <v>10</v>
      </c>
      <c r="F1267">
        <v>64.316699999999997</v>
      </c>
      <c r="G1267">
        <v>-96</v>
      </c>
      <c r="H1267">
        <v>-6</v>
      </c>
      <c r="I1267">
        <v>50.8</v>
      </c>
      <c r="J1267" t="str">
        <f>HYPERLINK("https://climate.onebuilding.org/WMO_Region_4_North_and_Central_America/CAN_Canada/NU_Nunavut/CAN_NU_Baker.Lake.CS.713560_TMYx.zip")</f>
        <v>https://climate.onebuilding.org/WMO_Region_4_North_and_Central_America/CAN_Canada/NU_Nunavut/CAN_NU_Baker.Lake.CS.713560_TMYx.zip</v>
      </c>
    </row>
    <row r="1268" spans="1:10" x14ac:dyDescent="0.25">
      <c r="A1268" t="s">
        <v>6</v>
      </c>
      <c r="B1268" t="s">
        <v>42</v>
      </c>
      <c r="C1268" t="s">
        <v>650</v>
      </c>
      <c r="D1268">
        <v>713570</v>
      </c>
      <c r="E1268" t="s">
        <v>651</v>
      </c>
      <c r="F1268">
        <v>67.547499999999999</v>
      </c>
      <c r="G1268">
        <v>-64.033299999999997</v>
      </c>
      <c r="H1268">
        <v>-5</v>
      </c>
      <c r="I1268">
        <v>6.4</v>
      </c>
      <c r="J1268" t="str">
        <f>HYPERLINK("https://climate.onebuilding.org/WMO_Region_4_North_and_Central_America/CAN_Canada/NU_Nunavut/CAN_NU_Qikiqtarjuaq.AP.713570_TMYx.2004-2018.zip")</f>
        <v>https://climate.onebuilding.org/WMO_Region_4_North_and_Central_America/CAN_Canada/NU_Nunavut/CAN_NU_Qikiqtarjuaq.AP.713570_TMYx.2004-2018.zip</v>
      </c>
    </row>
    <row r="1269" spans="1:10" x14ac:dyDescent="0.25">
      <c r="A1269" t="s">
        <v>6</v>
      </c>
      <c r="B1269" t="s">
        <v>42</v>
      </c>
      <c r="C1269" t="s">
        <v>650</v>
      </c>
      <c r="D1269">
        <v>713570</v>
      </c>
      <c r="E1269" t="s">
        <v>10</v>
      </c>
      <c r="F1269">
        <v>67.547499999999999</v>
      </c>
      <c r="G1269">
        <v>-64.033299999999997</v>
      </c>
      <c r="H1269">
        <v>-5</v>
      </c>
      <c r="I1269">
        <v>6.4</v>
      </c>
      <c r="J1269" t="str">
        <f>HYPERLINK("https://climate.onebuilding.org/WMO_Region_4_North_and_Central_America/CAN_Canada/NU_Nunavut/CAN_NU_Qikiqtarjuaq.AP.713570_TMYx.2007-2021.zip")</f>
        <v>https://climate.onebuilding.org/WMO_Region_4_North_and_Central_America/CAN_Canada/NU_Nunavut/CAN_NU_Qikiqtarjuaq.AP.713570_TMYx.2007-2021.zip</v>
      </c>
    </row>
    <row r="1270" spans="1:10" x14ac:dyDescent="0.25">
      <c r="A1270" t="s">
        <v>6</v>
      </c>
      <c r="B1270" t="s">
        <v>42</v>
      </c>
      <c r="C1270" t="s">
        <v>650</v>
      </c>
      <c r="D1270">
        <v>713570</v>
      </c>
      <c r="E1270" t="s">
        <v>10</v>
      </c>
      <c r="F1270">
        <v>67.547499999999999</v>
      </c>
      <c r="G1270">
        <v>-64.033299999999997</v>
      </c>
      <c r="H1270">
        <v>-5</v>
      </c>
      <c r="I1270">
        <v>6.4</v>
      </c>
      <c r="J1270" t="str">
        <f>HYPERLINK("https://climate.onebuilding.org/WMO_Region_4_North_and_Central_America/CAN_Canada/NU_Nunavut/CAN_NU_Qikiqtarjuaq.AP.713570_TMYx.2009-2023.zip")</f>
        <v>https://climate.onebuilding.org/WMO_Region_4_North_and_Central_America/CAN_Canada/NU_Nunavut/CAN_NU_Qikiqtarjuaq.AP.713570_TMYx.2009-2023.zip</v>
      </c>
    </row>
    <row r="1271" spans="1:10" x14ac:dyDescent="0.25">
      <c r="A1271" t="s">
        <v>6</v>
      </c>
      <c r="B1271" t="s">
        <v>42</v>
      </c>
      <c r="C1271" t="s">
        <v>650</v>
      </c>
      <c r="D1271">
        <v>713570</v>
      </c>
      <c r="E1271" t="s">
        <v>10</v>
      </c>
      <c r="F1271">
        <v>67.547499999999999</v>
      </c>
      <c r="G1271">
        <v>-64.033299999999997</v>
      </c>
      <c r="H1271">
        <v>-5</v>
      </c>
      <c r="I1271">
        <v>6.4</v>
      </c>
      <c r="J1271" t="str">
        <f>HYPERLINK("https://climate.onebuilding.org/WMO_Region_4_North_and_Central_America/CAN_Canada/NU_Nunavut/CAN_NU_Qikiqtarjuaq.AP.713570_TMYx.zip")</f>
        <v>https://climate.onebuilding.org/WMO_Region_4_North_and_Central_America/CAN_Canada/NU_Nunavut/CAN_NU_Qikiqtarjuaq.AP.713570_TMYx.zip</v>
      </c>
    </row>
    <row r="1272" spans="1:10" x14ac:dyDescent="0.25">
      <c r="A1272" t="s">
        <v>6</v>
      </c>
      <c r="B1272" t="s">
        <v>42</v>
      </c>
      <c r="C1272" t="s">
        <v>652</v>
      </c>
      <c r="D1272">
        <v>713580</v>
      </c>
      <c r="E1272" t="s">
        <v>10</v>
      </c>
      <c r="F1272">
        <v>70.4833</v>
      </c>
      <c r="G1272">
        <v>-68.5167</v>
      </c>
      <c r="H1272">
        <v>-5</v>
      </c>
      <c r="I1272">
        <v>26.5</v>
      </c>
      <c r="J1272" t="str">
        <f>HYPERLINK("https://climate.onebuilding.org/WMO_Region_4_North_and_Central_America/CAN_Canada/NU_Nunavut/CAN_NU_Clyde.River.CS.713580_TMYx.2007-2021.zip")</f>
        <v>https://climate.onebuilding.org/WMO_Region_4_North_and_Central_America/CAN_Canada/NU_Nunavut/CAN_NU_Clyde.River.CS.713580_TMYx.2007-2021.zip</v>
      </c>
    </row>
    <row r="1273" spans="1:10" x14ac:dyDescent="0.25">
      <c r="A1273" t="s">
        <v>6</v>
      </c>
      <c r="B1273" t="s">
        <v>42</v>
      </c>
      <c r="C1273" t="s">
        <v>652</v>
      </c>
      <c r="D1273">
        <v>713580</v>
      </c>
      <c r="E1273" t="s">
        <v>10</v>
      </c>
      <c r="F1273">
        <v>70.4833</v>
      </c>
      <c r="G1273">
        <v>-68.5167</v>
      </c>
      <c r="H1273">
        <v>-5</v>
      </c>
      <c r="I1273">
        <v>26.5</v>
      </c>
      <c r="J1273" t="str">
        <f>HYPERLINK("https://climate.onebuilding.org/WMO_Region_4_North_and_Central_America/CAN_Canada/NU_Nunavut/CAN_NU_Clyde.River.CS.713580_TMYx.2009-2023.zip")</f>
        <v>https://climate.onebuilding.org/WMO_Region_4_North_and_Central_America/CAN_Canada/NU_Nunavut/CAN_NU_Clyde.River.CS.713580_TMYx.2009-2023.zip</v>
      </c>
    </row>
    <row r="1274" spans="1:10" x14ac:dyDescent="0.25">
      <c r="A1274" t="s">
        <v>6</v>
      </c>
      <c r="B1274" t="s">
        <v>42</v>
      </c>
      <c r="C1274" t="s">
        <v>652</v>
      </c>
      <c r="D1274">
        <v>713580</v>
      </c>
      <c r="E1274" t="s">
        <v>10</v>
      </c>
      <c r="F1274">
        <v>70.4833</v>
      </c>
      <c r="G1274">
        <v>-68.5167</v>
      </c>
      <c r="H1274">
        <v>-5</v>
      </c>
      <c r="I1274">
        <v>26.5</v>
      </c>
      <c r="J1274" t="str">
        <f>HYPERLINK("https://climate.onebuilding.org/WMO_Region_4_North_and_Central_America/CAN_Canada/NU_Nunavut/CAN_NU_Clyde.River.CS.713580_TMYx.zip")</f>
        <v>https://climate.onebuilding.org/WMO_Region_4_North_and_Central_America/CAN_Canada/NU_Nunavut/CAN_NU_Clyde.River.CS.713580_TMYx.zip</v>
      </c>
    </row>
    <row r="1275" spans="1:10" x14ac:dyDescent="0.25">
      <c r="A1275" t="s">
        <v>6</v>
      </c>
      <c r="B1275" t="s">
        <v>17</v>
      </c>
      <c r="C1275" t="s">
        <v>653</v>
      </c>
      <c r="D1275">
        <v>713590</v>
      </c>
      <c r="E1275" t="s">
        <v>654</v>
      </c>
      <c r="F1275">
        <v>53.659199999999998</v>
      </c>
      <c r="G1275">
        <v>-110.58750000000001</v>
      </c>
      <c r="H1275">
        <v>-7</v>
      </c>
      <c r="I1275">
        <v>616</v>
      </c>
      <c r="J1275" t="str">
        <f>HYPERLINK("https://climate.onebuilding.org/WMO_Region_4_North_and_Central_America/CAN_Canada/AB_Alberta/CAN_AB_Dewberry.AgCM.713590_TMYx.2004-2018.zip")</f>
        <v>https://climate.onebuilding.org/WMO_Region_4_North_and_Central_America/CAN_Canada/AB_Alberta/CAN_AB_Dewberry.AgCM.713590_TMYx.2004-2018.zip</v>
      </c>
    </row>
    <row r="1276" spans="1:10" x14ac:dyDescent="0.25">
      <c r="A1276" t="s">
        <v>6</v>
      </c>
      <c r="B1276" t="s">
        <v>17</v>
      </c>
      <c r="C1276" t="s">
        <v>653</v>
      </c>
      <c r="D1276">
        <v>713590</v>
      </c>
      <c r="E1276" t="s">
        <v>10</v>
      </c>
      <c r="F1276">
        <v>53.659199999999998</v>
      </c>
      <c r="G1276">
        <v>-110.58750000000001</v>
      </c>
      <c r="H1276">
        <v>-7</v>
      </c>
      <c r="I1276">
        <v>616</v>
      </c>
      <c r="J1276" t="str">
        <f>HYPERLINK("https://climate.onebuilding.org/WMO_Region_4_North_and_Central_America/CAN_Canada/AB_Alberta/CAN_AB_Dewberry.AgCM.713590_TMYx.2007-2021.zip")</f>
        <v>https://climate.onebuilding.org/WMO_Region_4_North_and_Central_America/CAN_Canada/AB_Alberta/CAN_AB_Dewberry.AgCM.713590_TMYx.2007-2021.zip</v>
      </c>
    </row>
    <row r="1277" spans="1:10" x14ac:dyDescent="0.25">
      <c r="A1277" t="s">
        <v>6</v>
      </c>
      <c r="B1277" t="s">
        <v>17</v>
      </c>
      <c r="C1277" t="s">
        <v>653</v>
      </c>
      <c r="D1277">
        <v>713590</v>
      </c>
      <c r="E1277" t="s">
        <v>10</v>
      </c>
      <c r="F1277">
        <v>53.659199999999998</v>
      </c>
      <c r="G1277">
        <v>-110.58750000000001</v>
      </c>
      <c r="H1277">
        <v>-7</v>
      </c>
      <c r="I1277">
        <v>616</v>
      </c>
      <c r="J1277" t="str">
        <f>HYPERLINK("https://climate.onebuilding.org/WMO_Region_4_North_and_Central_America/CAN_Canada/AB_Alberta/CAN_AB_Dewberry.AgCM.713590_TMYx.2009-2023.zip")</f>
        <v>https://climate.onebuilding.org/WMO_Region_4_North_and_Central_America/CAN_Canada/AB_Alberta/CAN_AB_Dewberry.AgCM.713590_TMYx.2009-2023.zip</v>
      </c>
    </row>
    <row r="1278" spans="1:10" x14ac:dyDescent="0.25">
      <c r="A1278" t="s">
        <v>6</v>
      </c>
      <c r="B1278" t="s">
        <v>17</v>
      </c>
      <c r="C1278" t="s">
        <v>653</v>
      </c>
      <c r="D1278">
        <v>713590</v>
      </c>
      <c r="E1278" t="s">
        <v>10</v>
      </c>
      <c r="F1278">
        <v>53.659199999999998</v>
      </c>
      <c r="G1278">
        <v>-110.58750000000001</v>
      </c>
      <c r="H1278">
        <v>-7</v>
      </c>
      <c r="I1278">
        <v>616</v>
      </c>
      <c r="J1278" t="str">
        <f>HYPERLINK("https://climate.onebuilding.org/WMO_Region_4_North_and_Central_America/CAN_Canada/AB_Alberta/CAN_AB_Dewberry.AgCM.713590_TMYx.zip")</f>
        <v>https://climate.onebuilding.org/WMO_Region_4_North_and_Central_America/CAN_Canada/AB_Alberta/CAN_AB_Dewberry.AgCM.713590_TMYx.zip</v>
      </c>
    </row>
    <row r="1279" spans="1:10" x14ac:dyDescent="0.25">
      <c r="A1279" t="s">
        <v>6</v>
      </c>
      <c r="B1279" t="s">
        <v>17</v>
      </c>
      <c r="C1279" t="s">
        <v>655</v>
      </c>
      <c r="D1279">
        <v>713600</v>
      </c>
      <c r="E1279" t="s">
        <v>656</v>
      </c>
      <c r="F1279">
        <v>52.767000000000003</v>
      </c>
      <c r="G1279">
        <v>-110.417</v>
      </c>
      <c r="H1279">
        <v>-7</v>
      </c>
      <c r="I1279">
        <v>649</v>
      </c>
      <c r="J1279" t="str">
        <f>HYPERLINK("https://climate.onebuilding.org/WMO_Region_4_North_and_Central_America/CAN_Canada/AB_Alberta/CAN_AB_Edgerton.AgCM.713600_TMYx.2004-2018.zip")</f>
        <v>https://climate.onebuilding.org/WMO_Region_4_North_and_Central_America/CAN_Canada/AB_Alberta/CAN_AB_Edgerton.AgCM.713600_TMYx.2004-2018.zip</v>
      </c>
    </row>
    <row r="1280" spans="1:10" x14ac:dyDescent="0.25">
      <c r="A1280" t="s">
        <v>6</v>
      </c>
      <c r="B1280" t="s">
        <v>17</v>
      </c>
      <c r="C1280" t="s">
        <v>655</v>
      </c>
      <c r="D1280">
        <v>713600</v>
      </c>
      <c r="E1280" t="s">
        <v>10</v>
      </c>
      <c r="F1280">
        <v>52.77778</v>
      </c>
      <c r="G1280">
        <v>-110.4328</v>
      </c>
      <c r="H1280">
        <v>-7</v>
      </c>
      <c r="I1280">
        <v>649</v>
      </c>
      <c r="J1280" t="str">
        <f>HYPERLINK("https://climate.onebuilding.org/WMO_Region_4_North_and_Central_America/CAN_Canada/AB_Alberta/CAN_AB_Edgerton.AgCM.713600_TMYx.2007-2021.zip")</f>
        <v>https://climate.onebuilding.org/WMO_Region_4_North_and_Central_America/CAN_Canada/AB_Alberta/CAN_AB_Edgerton.AgCM.713600_TMYx.2007-2021.zip</v>
      </c>
    </row>
    <row r="1281" spans="1:10" x14ac:dyDescent="0.25">
      <c r="A1281" t="s">
        <v>6</v>
      </c>
      <c r="B1281" t="s">
        <v>17</v>
      </c>
      <c r="C1281" t="s">
        <v>655</v>
      </c>
      <c r="D1281">
        <v>713600</v>
      </c>
      <c r="E1281" t="s">
        <v>10</v>
      </c>
      <c r="F1281">
        <v>52.77778</v>
      </c>
      <c r="G1281">
        <v>-110.4328</v>
      </c>
      <c r="H1281">
        <v>-7</v>
      </c>
      <c r="I1281">
        <v>649</v>
      </c>
      <c r="J1281" t="str">
        <f>HYPERLINK("https://climate.onebuilding.org/WMO_Region_4_North_and_Central_America/CAN_Canada/AB_Alberta/CAN_AB_Edgerton.AgCM.713600_TMYx.2009-2023.zip")</f>
        <v>https://climate.onebuilding.org/WMO_Region_4_North_and_Central_America/CAN_Canada/AB_Alberta/CAN_AB_Edgerton.AgCM.713600_TMYx.2009-2023.zip</v>
      </c>
    </row>
    <row r="1282" spans="1:10" x14ac:dyDescent="0.25">
      <c r="A1282" t="s">
        <v>6</v>
      </c>
      <c r="B1282" t="s">
        <v>17</v>
      </c>
      <c r="C1282" t="s">
        <v>655</v>
      </c>
      <c r="D1282">
        <v>713600</v>
      </c>
      <c r="E1282" t="s">
        <v>10</v>
      </c>
      <c r="F1282">
        <v>52.77778</v>
      </c>
      <c r="G1282">
        <v>-110.4328</v>
      </c>
      <c r="H1282">
        <v>-7</v>
      </c>
      <c r="I1282">
        <v>649</v>
      </c>
      <c r="J1282" t="str">
        <f>HYPERLINK("https://climate.onebuilding.org/WMO_Region_4_North_and_Central_America/CAN_Canada/AB_Alberta/CAN_AB_Edgerton.AgCM.713600_TMYx.zip")</f>
        <v>https://climate.onebuilding.org/WMO_Region_4_North_and_Central_America/CAN_Canada/AB_Alberta/CAN_AB_Edgerton.AgCM.713600_TMYx.zip</v>
      </c>
    </row>
    <row r="1283" spans="1:10" x14ac:dyDescent="0.25">
      <c r="A1283" t="s">
        <v>6</v>
      </c>
      <c r="B1283" t="s">
        <v>48</v>
      </c>
      <c r="C1283" t="s">
        <v>657</v>
      </c>
      <c r="D1283">
        <v>713610</v>
      </c>
      <c r="E1283" t="s">
        <v>10</v>
      </c>
      <c r="F1283">
        <v>60.838900000000002</v>
      </c>
      <c r="G1283">
        <v>-115.77670000000001</v>
      </c>
      <c r="H1283">
        <v>-7</v>
      </c>
      <c r="I1283">
        <v>164</v>
      </c>
      <c r="J1283" t="str">
        <f>HYPERLINK("https://climate.onebuilding.org/WMO_Region_4_North_and_Central_America/CAN_Canada/NT_Northwest_Territories/CAN_NT_Hay.River.CS.713610_TMYx.2007-2021.zip")</f>
        <v>https://climate.onebuilding.org/WMO_Region_4_North_and_Central_America/CAN_Canada/NT_Northwest_Territories/CAN_NT_Hay.River.CS.713610_TMYx.2007-2021.zip</v>
      </c>
    </row>
    <row r="1284" spans="1:10" x14ac:dyDescent="0.25">
      <c r="A1284" t="s">
        <v>6</v>
      </c>
      <c r="B1284" t="s">
        <v>48</v>
      </c>
      <c r="C1284" t="s">
        <v>657</v>
      </c>
      <c r="D1284">
        <v>713610</v>
      </c>
      <c r="E1284" t="s">
        <v>10</v>
      </c>
      <c r="F1284">
        <v>60.838900000000002</v>
      </c>
      <c r="G1284">
        <v>-115.77670000000001</v>
      </c>
      <c r="H1284">
        <v>-7</v>
      </c>
      <c r="I1284">
        <v>164</v>
      </c>
      <c r="J1284" t="str">
        <f>HYPERLINK("https://climate.onebuilding.org/WMO_Region_4_North_and_Central_America/CAN_Canada/NT_Northwest_Territories/CAN_NT_Hay.River.CS.713610_TMYx.2009-2023.zip")</f>
        <v>https://climate.onebuilding.org/WMO_Region_4_North_and_Central_America/CAN_Canada/NT_Northwest_Territories/CAN_NT_Hay.River.CS.713610_TMYx.2009-2023.zip</v>
      </c>
    </row>
    <row r="1285" spans="1:10" x14ac:dyDescent="0.25">
      <c r="A1285" t="s">
        <v>6</v>
      </c>
      <c r="B1285" t="s">
        <v>48</v>
      </c>
      <c r="C1285" t="s">
        <v>657</v>
      </c>
      <c r="D1285">
        <v>713610</v>
      </c>
      <c r="E1285" t="s">
        <v>10</v>
      </c>
      <c r="F1285">
        <v>60.838900000000002</v>
      </c>
      <c r="G1285">
        <v>-115.77670000000001</v>
      </c>
      <c r="H1285">
        <v>-7</v>
      </c>
      <c r="I1285">
        <v>164</v>
      </c>
      <c r="J1285" t="str">
        <f>HYPERLINK("https://climate.onebuilding.org/WMO_Region_4_North_and_Central_America/CAN_Canada/NT_Northwest_Territories/CAN_NT_Hay.River.CS.713610_TMYx.zip")</f>
        <v>https://climate.onebuilding.org/WMO_Region_4_North_and_Central_America/CAN_Canada/NT_Northwest_Territories/CAN_NT_Hay.River.CS.713610_TMYx.zip</v>
      </c>
    </row>
    <row r="1286" spans="1:10" x14ac:dyDescent="0.25">
      <c r="A1286" t="s">
        <v>6</v>
      </c>
      <c r="B1286" t="s">
        <v>48</v>
      </c>
      <c r="C1286" t="s">
        <v>658</v>
      </c>
      <c r="D1286">
        <v>713620</v>
      </c>
      <c r="E1286" t="s">
        <v>10</v>
      </c>
      <c r="F1286">
        <v>60.0261</v>
      </c>
      <c r="G1286">
        <v>-111.9294</v>
      </c>
      <c r="H1286">
        <v>-7</v>
      </c>
      <c r="I1286">
        <v>203</v>
      </c>
      <c r="J1286" t="str">
        <f>HYPERLINK("https://climate.onebuilding.org/WMO_Region_4_North_and_Central_America/CAN_Canada/NT_Northwest_Territories/CAN_NT_Fort.Smith.CS.713620_TMYx.2007-2021.zip")</f>
        <v>https://climate.onebuilding.org/WMO_Region_4_North_and_Central_America/CAN_Canada/NT_Northwest_Territories/CAN_NT_Fort.Smith.CS.713620_TMYx.2007-2021.zip</v>
      </c>
    </row>
    <row r="1287" spans="1:10" x14ac:dyDescent="0.25">
      <c r="A1287" t="s">
        <v>6</v>
      </c>
      <c r="B1287" t="s">
        <v>48</v>
      </c>
      <c r="C1287" t="s">
        <v>658</v>
      </c>
      <c r="D1287">
        <v>713620</v>
      </c>
      <c r="E1287" t="s">
        <v>10</v>
      </c>
      <c r="F1287">
        <v>60.0261</v>
      </c>
      <c r="G1287">
        <v>-111.9294</v>
      </c>
      <c r="H1287">
        <v>-7</v>
      </c>
      <c r="I1287">
        <v>203</v>
      </c>
      <c r="J1287" t="str">
        <f>HYPERLINK("https://climate.onebuilding.org/WMO_Region_4_North_and_Central_America/CAN_Canada/NT_Northwest_Territories/CAN_NT_Fort.Smith.CS.713620_TMYx.2009-2023.zip")</f>
        <v>https://climate.onebuilding.org/WMO_Region_4_North_and_Central_America/CAN_Canada/NT_Northwest_Territories/CAN_NT_Fort.Smith.CS.713620_TMYx.2009-2023.zip</v>
      </c>
    </row>
    <row r="1288" spans="1:10" x14ac:dyDescent="0.25">
      <c r="A1288" t="s">
        <v>6</v>
      </c>
      <c r="B1288" t="s">
        <v>48</v>
      </c>
      <c r="C1288" t="s">
        <v>658</v>
      </c>
      <c r="D1288">
        <v>713620</v>
      </c>
      <c r="E1288" t="s">
        <v>10</v>
      </c>
      <c r="F1288">
        <v>60.0261</v>
      </c>
      <c r="G1288">
        <v>-111.9294</v>
      </c>
      <c r="H1288">
        <v>-7</v>
      </c>
      <c r="I1288">
        <v>203</v>
      </c>
      <c r="J1288" t="str">
        <f>HYPERLINK("https://climate.onebuilding.org/WMO_Region_4_North_and_Central_America/CAN_Canada/NT_Northwest_Territories/CAN_NT_Fort.Smith.CS.713620_TMYx.zip")</f>
        <v>https://climate.onebuilding.org/WMO_Region_4_North_and_Central_America/CAN_Canada/NT_Northwest_Territories/CAN_NT_Fort.Smith.CS.713620_TMYx.zip</v>
      </c>
    </row>
    <row r="1289" spans="1:10" x14ac:dyDescent="0.25">
      <c r="A1289" t="s">
        <v>6</v>
      </c>
      <c r="B1289" t="s">
        <v>42</v>
      </c>
      <c r="C1289" t="s">
        <v>659</v>
      </c>
      <c r="D1289">
        <v>713630</v>
      </c>
      <c r="E1289" t="s">
        <v>10</v>
      </c>
      <c r="F1289">
        <v>68.635599999999997</v>
      </c>
      <c r="G1289">
        <v>-95.850300000000004</v>
      </c>
      <c r="H1289">
        <v>-7</v>
      </c>
      <c r="I1289">
        <v>42.3</v>
      </c>
      <c r="J1289" t="str">
        <f>HYPERLINK("https://climate.onebuilding.org/WMO_Region_4_North_and_Central_America/CAN_Canada/NU_Nunavut/CAN_NU_Gjoa.Haven.CS.713630_TMYx.2007-2021.zip")</f>
        <v>https://climate.onebuilding.org/WMO_Region_4_North_and_Central_America/CAN_Canada/NU_Nunavut/CAN_NU_Gjoa.Haven.CS.713630_TMYx.2007-2021.zip</v>
      </c>
    </row>
    <row r="1290" spans="1:10" x14ac:dyDescent="0.25">
      <c r="A1290" t="s">
        <v>6</v>
      </c>
      <c r="B1290" t="s">
        <v>42</v>
      </c>
      <c r="C1290" t="s">
        <v>659</v>
      </c>
      <c r="D1290">
        <v>713630</v>
      </c>
      <c r="E1290" t="s">
        <v>10</v>
      </c>
      <c r="F1290">
        <v>68.635599999999997</v>
      </c>
      <c r="G1290">
        <v>-95.850300000000004</v>
      </c>
      <c r="H1290">
        <v>-7</v>
      </c>
      <c r="I1290">
        <v>42.3</v>
      </c>
      <c r="J1290" t="str">
        <f>HYPERLINK("https://climate.onebuilding.org/WMO_Region_4_North_and_Central_America/CAN_Canada/NU_Nunavut/CAN_NU_Gjoa.Haven.CS.713630_TMYx.2009-2023.zip")</f>
        <v>https://climate.onebuilding.org/WMO_Region_4_North_and_Central_America/CAN_Canada/NU_Nunavut/CAN_NU_Gjoa.Haven.CS.713630_TMYx.2009-2023.zip</v>
      </c>
    </row>
    <row r="1291" spans="1:10" x14ac:dyDescent="0.25">
      <c r="A1291" t="s">
        <v>6</v>
      </c>
      <c r="B1291" t="s">
        <v>42</v>
      </c>
      <c r="C1291" t="s">
        <v>659</v>
      </c>
      <c r="D1291">
        <v>713630</v>
      </c>
      <c r="E1291" t="s">
        <v>10</v>
      </c>
      <c r="F1291">
        <v>68.635599999999997</v>
      </c>
      <c r="G1291">
        <v>-95.850300000000004</v>
      </c>
      <c r="H1291">
        <v>-7</v>
      </c>
      <c r="I1291">
        <v>42.3</v>
      </c>
      <c r="J1291" t="str">
        <f>HYPERLINK("https://climate.onebuilding.org/WMO_Region_4_North_and_Central_America/CAN_Canada/NU_Nunavut/CAN_NU_Gjoa.Haven.CS.713630_TMYx.zip")</f>
        <v>https://climate.onebuilding.org/WMO_Region_4_North_and_Central_America/CAN_Canada/NU_Nunavut/CAN_NU_Gjoa.Haven.CS.713630_TMYx.zip</v>
      </c>
    </row>
    <row r="1292" spans="1:10" x14ac:dyDescent="0.25">
      <c r="A1292" t="s">
        <v>6</v>
      </c>
      <c r="B1292" t="s">
        <v>48</v>
      </c>
      <c r="C1292" t="s">
        <v>660</v>
      </c>
      <c r="D1292">
        <v>713640</v>
      </c>
      <c r="E1292" t="s">
        <v>10</v>
      </c>
      <c r="F1292">
        <v>68.316699999999997</v>
      </c>
      <c r="G1292">
        <v>-133.51669999999999</v>
      </c>
      <c r="H1292">
        <v>-7</v>
      </c>
      <c r="I1292">
        <v>103</v>
      </c>
      <c r="J1292" t="str">
        <f>HYPERLINK("https://climate.onebuilding.org/WMO_Region_4_North_and_Central_America/CAN_Canada/NT_Northwest_Territories/CAN_NT_Inuvik.CS.713640_TMYx.2007-2021.zip")</f>
        <v>https://climate.onebuilding.org/WMO_Region_4_North_and_Central_America/CAN_Canada/NT_Northwest_Territories/CAN_NT_Inuvik.CS.713640_TMYx.2007-2021.zip</v>
      </c>
    </row>
    <row r="1293" spans="1:10" x14ac:dyDescent="0.25">
      <c r="A1293" t="s">
        <v>6</v>
      </c>
      <c r="B1293" t="s">
        <v>48</v>
      </c>
      <c r="C1293" t="s">
        <v>660</v>
      </c>
      <c r="D1293">
        <v>713640</v>
      </c>
      <c r="E1293" t="s">
        <v>10</v>
      </c>
      <c r="F1293">
        <v>68.316699999999997</v>
      </c>
      <c r="G1293">
        <v>-133.51669999999999</v>
      </c>
      <c r="H1293">
        <v>-7</v>
      </c>
      <c r="I1293">
        <v>103</v>
      </c>
      <c r="J1293" t="str">
        <f>HYPERLINK("https://climate.onebuilding.org/WMO_Region_4_North_and_Central_America/CAN_Canada/NT_Northwest_Territories/CAN_NT_Inuvik.CS.713640_TMYx.2009-2023.zip")</f>
        <v>https://climate.onebuilding.org/WMO_Region_4_North_and_Central_America/CAN_Canada/NT_Northwest_Territories/CAN_NT_Inuvik.CS.713640_TMYx.2009-2023.zip</v>
      </c>
    </row>
    <row r="1294" spans="1:10" x14ac:dyDescent="0.25">
      <c r="A1294" t="s">
        <v>6</v>
      </c>
      <c r="B1294" t="s">
        <v>48</v>
      </c>
      <c r="C1294" t="s">
        <v>660</v>
      </c>
      <c r="D1294">
        <v>713640</v>
      </c>
      <c r="E1294" t="s">
        <v>10</v>
      </c>
      <c r="F1294">
        <v>68.316699999999997</v>
      </c>
      <c r="G1294">
        <v>-133.51669999999999</v>
      </c>
      <c r="H1294">
        <v>-7</v>
      </c>
      <c r="I1294">
        <v>103</v>
      </c>
      <c r="J1294" t="str">
        <f>HYPERLINK("https://climate.onebuilding.org/WMO_Region_4_North_and_Central_America/CAN_Canada/NT_Northwest_Territories/CAN_NT_Inuvik.CS.713640_TMYx.zip")</f>
        <v>https://climate.onebuilding.org/WMO_Region_4_North_and_Central_America/CAN_Canada/NT_Northwest_Territories/CAN_NT_Inuvik.CS.713640_TMYx.zip</v>
      </c>
    </row>
    <row r="1295" spans="1:10" x14ac:dyDescent="0.25">
      <c r="A1295" t="s">
        <v>6</v>
      </c>
      <c r="B1295" t="s">
        <v>48</v>
      </c>
      <c r="C1295" t="s">
        <v>661</v>
      </c>
      <c r="D1295">
        <v>713650</v>
      </c>
      <c r="E1295" t="s">
        <v>10</v>
      </c>
      <c r="F1295">
        <v>61.760300000000001</v>
      </c>
      <c r="G1295">
        <v>-121.2367</v>
      </c>
      <c r="H1295">
        <v>-7</v>
      </c>
      <c r="I1295">
        <v>168</v>
      </c>
      <c r="J1295" t="str">
        <f>HYPERLINK("https://climate.onebuilding.org/WMO_Region_4_North_and_Central_America/CAN_Canada/NT_Northwest_Territories/CAN_NT_Fort.Simpson.CS.713650_TMYx.2007-2021.zip")</f>
        <v>https://climate.onebuilding.org/WMO_Region_4_North_and_Central_America/CAN_Canada/NT_Northwest_Territories/CAN_NT_Fort.Simpson.CS.713650_TMYx.2007-2021.zip</v>
      </c>
    </row>
    <row r="1296" spans="1:10" x14ac:dyDescent="0.25">
      <c r="A1296" t="s">
        <v>6</v>
      </c>
      <c r="B1296" t="s">
        <v>48</v>
      </c>
      <c r="C1296" t="s">
        <v>661</v>
      </c>
      <c r="D1296">
        <v>713650</v>
      </c>
      <c r="E1296" t="s">
        <v>10</v>
      </c>
      <c r="F1296">
        <v>61.760300000000001</v>
      </c>
      <c r="G1296">
        <v>-121.2367</v>
      </c>
      <c r="H1296">
        <v>-7</v>
      </c>
      <c r="I1296">
        <v>168</v>
      </c>
      <c r="J1296" t="str">
        <f>HYPERLINK("https://climate.onebuilding.org/WMO_Region_4_North_and_Central_America/CAN_Canada/NT_Northwest_Territories/CAN_NT_Fort.Simpson.CS.713650_TMYx.2009-2023.zip")</f>
        <v>https://climate.onebuilding.org/WMO_Region_4_North_and_Central_America/CAN_Canada/NT_Northwest_Territories/CAN_NT_Fort.Simpson.CS.713650_TMYx.2009-2023.zip</v>
      </c>
    </row>
    <row r="1297" spans="1:10" x14ac:dyDescent="0.25">
      <c r="A1297" t="s">
        <v>6</v>
      </c>
      <c r="B1297" t="s">
        <v>48</v>
      </c>
      <c r="C1297" t="s">
        <v>661</v>
      </c>
      <c r="D1297">
        <v>713650</v>
      </c>
      <c r="E1297" t="s">
        <v>10</v>
      </c>
      <c r="F1297">
        <v>61.760300000000001</v>
      </c>
      <c r="G1297">
        <v>-121.2367</v>
      </c>
      <c r="H1297">
        <v>-7</v>
      </c>
      <c r="I1297">
        <v>168</v>
      </c>
      <c r="J1297" t="str">
        <f>HYPERLINK("https://climate.onebuilding.org/WMO_Region_4_North_and_Central_America/CAN_Canada/NT_Northwest_Territories/CAN_NT_Fort.Simpson.CS.713650_TMYx.zip")</f>
        <v>https://climate.onebuilding.org/WMO_Region_4_North_and_Central_America/CAN_Canada/NT_Northwest_Territories/CAN_NT_Fort.Simpson.CS.713650_TMYx.zip</v>
      </c>
    </row>
    <row r="1298" spans="1:10" x14ac:dyDescent="0.25">
      <c r="A1298" t="s">
        <v>6</v>
      </c>
      <c r="B1298" t="s">
        <v>130</v>
      </c>
      <c r="C1298" t="s">
        <v>662</v>
      </c>
      <c r="D1298">
        <v>713680</v>
      </c>
      <c r="E1298" t="s">
        <v>663</v>
      </c>
      <c r="F1298">
        <v>43.460799999999999</v>
      </c>
      <c r="G1298">
        <v>-80.378600000000006</v>
      </c>
      <c r="H1298">
        <v>-5</v>
      </c>
      <c r="I1298">
        <v>321.60000000000002</v>
      </c>
      <c r="J1298" t="str">
        <f>HYPERLINK("https://climate.onebuilding.org/WMO_Region_4_North_and_Central_America/CAN_Canada/ON_Ontario/CAN_ON_Region.of.Waterloo.Intl.AP.713680_TMYx.2004-2018.zip")</f>
        <v>https://climate.onebuilding.org/WMO_Region_4_North_and_Central_America/CAN_Canada/ON_Ontario/CAN_ON_Region.of.Waterloo.Intl.AP.713680_TMYx.2004-2018.zip</v>
      </c>
    </row>
    <row r="1299" spans="1:10" x14ac:dyDescent="0.25">
      <c r="A1299" t="s">
        <v>6</v>
      </c>
      <c r="B1299" t="s">
        <v>130</v>
      </c>
      <c r="C1299" t="s">
        <v>662</v>
      </c>
      <c r="D1299">
        <v>713680</v>
      </c>
      <c r="E1299" t="s">
        <v>10</v>
      </c>
      <c r="F1299">
        <v>43.461599999999997</v>
      </c>
      <c r="G1299">
        <v>-80.385599999999997</v>
      </c>
      <c r="H1299">
        <v>-5</v>
      </c>
      <c r="I1299">
        <v>321.60000000000002</v>
      </c>
      <c r="J1299" t="str">
        <f>HYPERLINK("https://climate.onebuilding.org/WMO_Region_4_North_and_Central_America/CAN_Canada/ON_Ontario/CAN_ON_Region.of.Waterloo.Intl.AP.713680_TMYx.2007-2021.zip")</f>
        <v>https://climate.onebuilding.org/WMO_Region_4_North_and_Central_America/CAN_Canada/ON_Ontario/CAN_ON_Region.of.Waterloo.Intl.AP.713680_TMYx.2007-2021.zip</v>
      </c>
    </row>
    <row r="1300" spans="1:10" x14ac:dyDescent="0.25">
      <c r="A1300" t="s">
        <v>6</v>
      </c>
      <c r="B1300" t="s">
        <v>130</v>
      </c>
      <c r="C1300" t="s">
        <v>662</v>
      </c>
      <c r="D1300">
        <v>713680</v>
      </c>
      <c r="E1300" t="s">
        <v>10</v>
      </c>
      <c r="F1300">
        <v>43.461599999999997</v>
      </c>
      <c r="G1300">
        <v>-80.385599999999997</v>
      </c>
      <c r="H1300">
        <v>-5</v>
      </c>
      <c r="I1300">
        <v>321.60000000000002</v>
      </c>
      <c r="J1300" t="str">
        <f>HYPERLINK("https://climate.onebuilding.org/WMO_Region_4_North_and_Central_America/CAN_Canada/ON_Ontario/CAN_ON_Region.of.Waterloo.Intl.AP.713680_TMYx.2009-2023.zip")</f>
        <v>https://climate.onebuilding.org/WMO_Region_4_North_and_Central_America/CAN_Canada/ON_Ontario/CAN_ON_Region.of.Waterloo.Intl.AP.713680_TMYx.2009-2023.zip</v>
      </c>
    </row>
    <row r="1301" spans="1:10" x14ac:dyDescent="0.25">
      <c r="A1301" t="s">
        <v>6</v>
      </c>
      <c r="B1301" t="s">
        <v>130</v>
      </c>
      <c r="C1301" t="s">
        <v>662</v>
      </c>
      <c r="D1301">
        <v>713680</v>
      </c>
      <c r="E1301" t="s">
        <v>10</v>
      </c>
      <c r="F1301">
        <v>43.461599999999997</v>
      </c>
      <c r="G1301">
        <v>-80.385599999999997</v>
      </c>
      <c r="H1301">
        <v>-5</v>
      </c>
      <c r="I1301">
        <v>321.60000000000002</v>
      </c>
      <c r="J1301" t="str">
        <f>HYPERLINK("https://climate.onebuilding.org/WMO_Region_4_North_and_Central_America/CAN_Canada/ON_Ontario/CAN_ON_Region.of.Waterloo.Intl.AP.713680_TMYx.zip")</f>
        <v>https://climate.onebuilding.org/WMO_Region_4_North_and_Central_America/CAN_Canada/ON_Ontario/CAN_ON_Region.of.Waterloo.Intl.AP.713680_TMYx.zip</v>
      </c>
    </row>
    <row r="1302" spans="1:10" x14ac:dyDescent="0.25">
      <c r="A1302" t="s">
        <v>6</v>
      </c>
      <c r="B1302" t="s">
        <v>14</v>
      </c>
      <c r="C1302" t="s">
        <v>664</v>
      </c>
      <c r="D1302">
        <v>713700</v>
      </c>
      <c r="E1302" t="s">
        <v>665</v>
      </c>
      <c r="F1302">
        <v>46.55</v>
      </c>
      <c r="G1302">
        <v>-72.733000000000004</v>
      </c>
      <c r="H1302">
        <v>-5</v>
      </c>
      <c r="I1302">
        <v>110</v>
      </c>
      <c r="J1302" t="str">
        <f>HYPERLINK("https://climate.onebuilding.org/WMO_Region_4_North_and_Central_America/CAN_Canada/QC_Quebec/CAN_QC_Shawinigan.713700_TMYx.2004-2018.zip")</f>
        <v>https://climate.onebuilding.org/WMO_Region_4_North_and_Central_America/CAN_Canada/QC_Quebec/CAN_QC_Shawinigan.713700_TMYx.2004-2018.zip</v>
      </c>
    </row>
    <row r="1303" spans="1:10" x14ac:dyDescent="0.25">
      <c r="A1303" t="s">
        <v>6</v>
      </c>
      <c r="B1303" t="s">
        <v>14</v>
      </c>
      <c r="C1303" t="s">
        <v>664</v>
      </c>
      <c r="D1303">
        <v>713700</v>
      </c>
      <c r="E1303" t="s">
        <v>10</v>
      </c>
      <c r="F1303">
        <v>46.563609999999997</v>
      </c>
      <c r="G1303">
        <v>-72.733329999999995</v>
      </c>
      <c r="H1303">
        <v>-5</v>
      </c>
      <c r="I1303">
        <v>110</v>
      </c>
      <c r="J1303" t="str">
        <f>HYPERLINK("https://climate.onebuilding.org/WMO_Region_4_North_and_Central_America/CAN_Canada/QC_Quebec/CAN_QC_Shawinigan.713700_TMYx.2007-2021.zip")</f>
        <v>https://climate.onebuilding.org/WMO_Region_4_North_and_Central_America/CAN_Canada/QC_Quebec/CAN_QC_Shawinigan.713700_TMYx.2007-2021.zip</v>
      </c>
    </row>
    <row r="1304" spans="1:10" x14ac:dyDescent="0.25">
      <c r="A1304" t="s">
        <v>6</v>
      </c>
      <c r="B1304" t="s">
        <v>14</v>
      </c>
      <c r="C1304" t="s">
        <v>664</v>
      </c>
      <c r="D1304">
        <v>713700</v>
      </c>
      <c r="E1304" t="s">
        <v>10</v>
      </c>
      <c r="F1304">
        <v>46.563609999999997</v>
      </c>
      <c r="G1304">
        <v>-72.733329999999995</v>
      </c>
      <c r="H1304">
        <v>-5</v>
      </c>
      <c r="I1304">
        <v>110</v>
      </c>
      <c r="J1304" t="str">
        <f>HYPERLINK("https://climate.onebuilding.org/WMO_Region_4_North_and_Central_America/CAN_Canada/QC_Quebec/CAN_QC_Shawinigan.713700_TMYx.2009-2023.zip")</f>
        <v>https://climate.onebuilding.org/WMO_Region_4_North_and_Central_America/CAN_Canada/QC_Quebec/CAN_QC_Shawinigan.713700_TMYx.2009-2023.zip</v>
      </c>
    </row>
    <row r="1305" spans="1:10" x14ac:dyDescent="0.25">
      <c r="A1305" t="s">
        <v>6</v>
      </c>
      <c r="B1305" t="s">
        <v>14</v>
      </c>
      <c r="C1305" t="s">
        <v>664</v>
      </c>
      <c r="D1305">
        <v>713700</v>
      </c>
      <c r="E1305" t="s">
        <v>10</v>
      </c>
      <c r="F1305">
        <v>46.563609999999997</v>
      </c>
      <c r="G1305">
        <v>-72.733329999999995</v>
      </c>
      <c r="H1305">
        <v>-5</v>
      </c>
      <c r="I1305">
        <v>110</v>
      </c>
      <c r="J1305" t="str">
        <f>HYPERLINK("https://climate.onebuilding.org/WMO_Region_4_North_and_Central_America/CAN_Canada/QC_Quebec/CAN_QC_Shawinigan.713700_TMYx.zip")</f>
        <v>https://climate.onebuilding.org/WMO_Region_4_North_and_Central_America/CAN_Canada/QC_Quebec/CAN_QC_Shawinigan.713700_TMYx.zip</v>
      </c>
    </row>
    <row r="1306" spans="1:10" x14ac:dyDescent="0.25">
      <c r="A1306" t="s">
        <v>6</v>
      </c>
      <c r="B1306" t="s">
        <v>14</v>
      </c>
      <c r="C1306" t="s">
        <v>666</v>
      </c>
      <c r="D1306">
        <v>713710</v>
      </c>
      <c r="E1306" t="s">
        <v>667</v>
      </c>
      <c r="F1306">
        <v>45.5167</v>
      </c>
      <c r="G1306">
        <v>-73.416700000000006</v>
      </c>
      <c r="H1306">
        <v>-5</v>
      </c>
      <c r="I1306">
        <v>27.4</v>
      </c>
      <c r="J1306" t="str">
        <f>HYPERLINK("https://climate.onebuilding.org/WMO_Region_4_North_and_Central_America/CAN_Canada/QC_Quebec/CAN_QC_Montreal-St.Hubert-Longueuil.AP.713710_TMYx.2004-2018.zip")</f>
        <v>https://climate.onebuilding.org/WMO_Region_4_North_and_Central_America/CAN_Canada/QC_Quebec/CAN_QC_Montreal-St.Hubert-Longueuil.AP.713710_TMYx.2004-2018.zip</v>
      </c>
    </row>
    <row r="1307" spans="1:10" x14ac:dyDescent="0.25">
      <c r="A1307" t="s">
        <v>6</v>
      </c>
      <c r="B1307" t="s">
        <v>14</v>
      </c>
      <c r="C1307" t="s">
        <v>666</v>
      </c>
      <c r="D1307">
        <v>713710</v>
      </c>
      <c r="E1307" t="s">
        <v>10</v>
      </c>
      <c r="F1307">
        <v>45.5152</v>
      </c>
      <c r="G1307">
        <v>-73.416700000000006</v>
      </c>
      <c r="H1307">
        <v>-5</v>
      </c>
      <c r="I1307">
        <v>27.4</v>
      </c>
      <c r="J1307" t="str">
        <f>HYPERLINK("https://climate.onebuilding.org/WMO_Region_4_North_and_Central_America/CAN_Canada/QC_Quebec/CAN_QC_Montreal-St.Hubert-Longueuil.AP.713710_TMYx.2007-2021.zip")</f>
        <v>https://climate.onebuilding.org/WMO_Region_4_North_and_Central_America/CAN_Canada/QC_Quebec/CAN_QC_Montreal-St.Hubert-Longueuil.AP.713710_TMYx.2007-2021.zip</v>
      </c>
    </row>
    <row r="1308" spans="1:10" x14ac:dyDescent="0.25">
      <c r="A1308" t="s">
        <v>6</v>
      </c>
      <c r="B1308" t="s">
        <v>14</v>
      </c>
      <c r="C1308" t="s">
        <v>666</v>
      </c>
      <c r="D1308">
        <v>713710</v>
      </c>
      <c r="E1308" t="s">
        <v>10</v>
      </c>
      <c r="F1308">
        <v>45.5152</v>
      </c>
      <c r="G1308">
        <v>-73.416700000000006</v>
      </c>
      <c r="H1308">
        <v>-5</v>
      </c>
      <c r="I1308">
        <v>27.4</v>
      </c>
      <c r="J1308" t="str">
        <f>HYPERLINK("https://climate.onebuilding.org/WMO_Region_4_North_and_Central_America/CAN_Canada/QC_Quebec/CAN_QC_Montreal-St.Hubert-Longueuil.AP.713710_TMYx.2009-2023.zip")</f>
        <v>https://climate.onebuilding.org/WMO_Region_4_North_and_Central_America/CAN_Canada/QC_Quebec/CAN_QC_Montreal-St.Hubert-Longueuil.AP.713710_TMYx.2009-2023.zip</v>
      </c>
    </row>
    <row r="1309" spans="1:10" x14ac:dyDescent="0.25">
      <c r="A1309" t="s">
        <v>6</v>
      </c>
      <c r="B1309" t="s">
        <v>14</v>
      </c>
      <c r="C1309" t="s">
        <v>666</v>
      </c>
      <c r="D1309">
        <v>713710</v>
      </c>
      <c r="E1309" t="s">
        <v>10</v>
      </c>
      <c r="F1309">
        <v>45.5152</v>
      </c>
      <c r="G1309">
        <v>-73.416700000000006</v>
      </c>
      <c r="H1309">
        <v>-5</v>
      </c>
      <c r="I1309">
        <v>27.4</v>
      </c>
      <c r="J1309" t="str">
        <f>HYPERLINK("https://climate.onebuilding.org/WMO_Region_4_North_and_Central_America/CAN_Canada/QC_Quebec/CAN_QC_Montreal-St.Hubert-Longueuil.AP.713710_TMYx.zip")</f>
        <v>https://climate.onebuilding.org/WMO_Region_4_North_and_Central_America/CAN_Canada/QC_Quebec/CAN_QC_Montreal-St.Hubert-Longueuil.AP.713710_TMYx.zip</v>
      </c>
    </row>
    <row r="1310" spans="1:10" x14ac:dyDescent="0.25">
      <c r="A1310" t="s">
        <v>6</v>
      </c>
      <c r="B1310" t="s">
        <v>14</v>
      </c>
      <c r="C1310" t="s">
        <v>668</v>
      </c>
      <c r="D1310">
        <v>713720</v>
      </c>
      <c r="E1310" t="s">
        <v>669</v>
      </c>
      <c r="F1310">
        <v>45.283000000000001</v>
      </c>
      <c r="G1310">
        <v>-73.332999999999998</v>
      </c>
      <c r="H1310">
        <v>-5</v>
      </c>
      <c r="I1310">
        <v>44</v>
      </c>
      <c r="J1310" t="str">
        <f>HYPERLINK("https://climate.onebuilding.org/WMO_Region_4_North_and_Central_America/CAN_Canada/QC_Quebec/CAN_QC_L-Acadie.713720_TMYx.2004-2018.zip")</f>
        <v>https://climate.onebuilding.org/WMO_Region_4_North_and_Central_America/CAN_Canada/QC_Quebec/CAN_QC_L-Acadie.713720_TMYx.2004-2018.zip</v>
      </c>
    </row>
    <row r="1311" spans="1:10" x14ac:dyDescent="0.25">
      <c r="A1311" t="s">
        <v>6</v>
      </c>
      <c r="B1311" t="s">
        <v>14</v>
      </c>
      <c r="C1311" t="s">
        <v>668</v>
      </c>
      <c r="D1311">
        <v>713720</v>
      </c>
      <c r="E1311" t="s">
        <v>10</v>
      </c>
      <c r="F1311">
        <v>45.293889999999998</v>
      </c>
      <c r="G1311">
        <v>-73.349720000000005</v>
      </c>
      <c r="H1311">
        <v>-5</v>
      </c>
      <c r="I1311">
        <v>44</v>
      </c>
      <c r="J1311" t="str">
        <f>HYPERLINK("https://climate.onebuilding.org/WMO_Region_4_North_and_Central_America/CAN_Canada/QC_Quebec/CAN_QC_L-Acadie.713720_TMYx.2007-2021.zip")</f>
        <v>https://climate.onebuilding.org/WMO_Region_4_North_and_Central_America/CAN_Canada/QC_Quebec/CAN_QC_L-Acadie.713720_TMYx.2007-2021.zip</v>
      </c>
    </row>
    <row r="1312" spans="1:10" x14ac:dyDescent="0.25">
      <c r="A1312" t="s">
        <v>6</v>
      </c>
      <c r="B1312" t="s">
        <v>14</v>
      </c>
      <c r="C1312" t="s">
        <v>668</v>
      </c>
      <c r="D1312">
        <v>713720</v>
      </c>
      <c r="E1312" t="s">
        <v>10</v>
      </c>
      <c r="F1312">
        <v>45.293889999999998</v>
      </c>
      <c r="G1312">
        <v>-73.349720000000005</v>
      </c>
      <c r="H1312">
        <v>-5</v>
      </c>
      <c r="I1312">
        <v>44</v>
      </c>
      <c r="J1312" t="str">
        <f>HYPERLINK("https://climate.onebuilding.org/WMO_Region_4_North_and_Central_America/CAN_Canada/QC_Quebec/CAN_QC_L-Acadie.713720_TMYx.2009-2023.zip")</f>
        <v>https://climate.onebuilding.org/WMO_Region_4_North_and_Central_America/CAN_Canada/QC_Quebec/CAN_QC_L-Acadie.713720_TMYx.2009-2023.zip</v>
      </c>
    </row>
    <row r="1313" spans="1:10" x14ac:dyDescent="0.25">
      <c r="A1313" t="s">
        <v>6</v>
      </c>
      <c r="B1313" t="s">
        <v>14</v>
      </c>
      <c r="C1313" t="s">
        <v>668</v>
      </c>
      <c r="D1313">
        <v>713720</v>
      </c>
      <c r="E1313" t="s">
        <v>10</v>
      </c>
      <c r="F1313">
        <v>45.293889999999998</v>
      </c>
      <c r="G1313">
        <v>-73.349720000000005</v>
      </c>
      <c r="H1313">
        <v>-5</v>
      </c>
      <c r="I1313">
        <v>44</v>
      </c>
      <c r="J1313" t="str">
        <f>HYPERLINK("https://climate.onebuilding.org/WMO_Region_4_North_and_Central_America/CAN_Canada/QC_Quebec/CAN_QC_L-Acadie.713720_TMYx.zip")</f>
        <v>https://climate.onebuilding.org/WMO_Region_4_North_and_Central_America/CAN_Canada/QC_Quebec/CAN_QC_L-Acadie.713720_TMYx.zip</v>
      </c>
    </row>
    <row r="1314" spans="1:10" x14ac:dyDescent="0.25">
      <c r="A1314" t="s">
        <v>6</v>
      </c>
      <c r="B1314" t="s">
        <v>14</v>
      </c>
      <c r="C1314" t="s">
        <v>670</v>
      </c>
      <c r="D1314">
        <v>713730</v>
      </c>
      <c r="E1314" t="s">
        <v>671</v>
      </c>
      <c r="F1314">
        <v>45.05</v>
      </c>
      <c r="G1314">
        <v>-72.849999999999994</v>
      </c>
      <c r="H1314">
        <v>-5</v>
      </c>
      <c r="I1314">
        <v>152</v>
      </c>
      <c r="J1314" t="str">
        <f>HYPERLINK("https://climate.onebuilding.org/WMO_Region_4_North_and_Central_America/CAN_Canada/QC_Quebec/CAN_QC_Frelighsburg.713730_TMYx.2004-2018.zip")</f>
        <v>https://climate.onebuilding.org/WMO_Region_4_North_and_Central_America/CAN_Canada/QC_Quebec/CAN_QC_Frelighsburg.713730_TMYx.2004-2018.zip</v>
      </c>
    </row>
    <row r="1315" spans="1:10" x14ac:dyDescent="0.25">
      <c r="A1315" t="s">
        <v>6</v>
      </c>
      <c r="B1315" t="s">
        <v>14</v>
      </c>
      <c r="C1315" t="s">
        <v>670</v>
      </c>
      <c r="D1315">
        <v>713730</v>
      </c>
      <c r="E1315" t="s">
        <v>10</v>
      </c>
      <c r="F1315">
        <v>45.039439999999999</v>
      </c>
      <c r="G1315">
        <v>-72.856110000000001</v>
      </c>
      <c r="H1315">
        <v>-5</v>
      </c>
      <c r="I1315">
        <v>152</v>
      </c>
      <c r="J1315" t="str">
        <f>HYPERLINK("https://climate.onebuilding.org/WMO_Region_4_North_and_Central_America/CAN_Canada/QC_Quebec/CAN_QC_Frelighsburg.713730_TMYx.2007-2021.zip")</f>
        <v>https://climate.onebuilding.org/WMO_Region_4_North_and_Central_America/CAN_Canada/QC_Quebec/CAN_QC_Frelighsburg.713730_TMYx.2007-2021.zip</v>
      </c>
    </row>
    <row r="1316" spans="1:10" x14ac:dyDescent="0.25">
      <c r="A1316" t="s">
        <v>6</v>
      </c>
      <c r="B1316" t="s">
        <v>14</v>
      </c>
      <c r="C1316" t="s">
        <v>670</v>
      </c>
      <c r="D1316">
        <v>713730</v>
      </c>
      <c r="E1316" t="s">
        <v>10</v>
      </c>
      <c r="F1316">
        <v>45.039439999999999</v>
      </c>
      <c r="G1316">
        <v>-72.856110000000001</v>
      </c>
      <c r="H1316">
        <v>-5</v>
      </c>
      <c r="I1316">
        <v>152</v>
      </c>
      <c r="J1316" t="str">
        <f>HYPERLINK("https://climate.onebuilding.org/WMO_Region_4_North_and_Central_America/CAN_Canada/QC_Quebec/CAN_QC_Frelighsburg.713730_TMYx.2009-2023.zip")</f>
        <v>https://climate.onebuilding.org/WMO_Region_4_North_and_Central_America/CAN_Canada/QC_Quebec/CAN_QC_Frelighsburg.713730_TMYx.2009-2023.zip</v>
      </c>
    </row>
    <row r="1317" spans="1:10" x14ac:dyDescent="0.25">
      <c r="A1317" t="s">
        <v>6</v>
      </c>
      <c r="B1317" t="s">
        <v>14</v>
      </c>
      <c r="C1317" t="s">
        <v>670</v>
      </c>
      <c r="D1317">
        <v>713730</v>
      </c>
      <c r="E1317" t="s">
        <v>10</v>
      </c>
      <c r="F1317">
        <v>45.039439999999999</v>
      </c>
      <c r="G1317">
        <v>-72.856110000000001</v>
      </c>
      <c r="H1317">
        <v>-5</v>
      </c>
      <c r="I1317">
        <v>152</v>
      </c>
      <c r="J1317" t="str">
        <f>HYPERLINK("https://climate.onebuilding.org/WMO_Region_4_North_and_Central_America/CAN_Canada/QC_Quebec/CAN_QC_Frelighsburg.713730_TMYx.zip")</f>
        <v>https://climate.onebuilding.org/WMO_Region_4_North_and_Central_America/CAN_Canada/QC_Quebec/CAN_QC_Frelighsburg.713730_TMYx.zip</v>
      </c>
    </row>
    <row r="1318" spans="1:10" x14ac:dyDescent="0.25">
      <c r="A1318" t="s">
        <v>6</v>
      </c>
      <c r="B1318" t="s">
        <v>14</v>
      </c>
      <c r="C1318" t="s">
        <v>672</v>
      </c>
      <c r="D1318">
        <v>713740</v>
      </c>
      <c r="E1318" t="s">
        <v>673</v>
      </c>
      <c r="F1318">
        <v>50.177</v>
      </c>
      <c r="G1318">
        <v>-60.121000000000002</v>
      </c>
      <c r="H1318">
        <v>-4</v>
      </c>
      <c r="I1318">
        <v>7</v>
      </c>
      <c r="J1318" t="str">
        <f>HYPERLINK("https://climate.onebuilding.org/WMO_Region_4_North_and_Central_America/CAN_Canada/QC_Quebec/CAN_QC_Cap.Whittle.713740_TMYx.2004-2018.zip")</f>
        <v>https://climate.onebuilding.org/WMO_Region_4_North_and_Central_America/CAN_Canada/QC_Quebec/CAN_QC_Cap.Whittle.713740_TMYx.2004-2018.zip</v>
      </c>
    </row>
    <row r="1319" spans="1:10" x14ac:dyDescent="0.25">
      <c r="A1319" t="s">
        <v>6</v>
      </c>
      <c r="B1319" t="s">
        <v>14</v>
      </c>
      <c r="C1319" t="s">
        <v>672</v>
      </c>
      <c r="D1319">
        <v>713740</v>
      </c>
      <c r="E1319" t="s">
        <v>10</v>
      </c>
      <c r="F1319">
        <v>50.177</v>
      </c>
      <c r="G1319">
        <v>-60.121000000000002</v>
      </c>
      <c r="H1319">
        <v>-4</v>
      </c>
      <c r="I1319">
        <v>7</v>
      </c>
      <c r="J1319" t="str">
        <f>HYPERLINK("https://climate.onebuilding.org/WMO_Region_4_North_and_Central_America/CAN_Canada/QC_Quebec/CAN_QC_Cap.Whittle.713740_TMYx.2007-2021.zip")</f>
        <v>https://climate.onebuilding.org/WMO_Region_4_North_and_Central_America/CAN_Canada/QC_Quebec/CAN_QC_Cap.Whittle.713740_TMYx.2007-2021.zip</v>
      </c>
    </row>
    <row r="1320" spans="1:10" x14ac:dyDescent="0.25">
      <c r="A1320" t="s">
        <v>6</v>
      </c>
      <c r="B1320" t="s">
        <v>14</v>
      </c>
      <c r="C1320" t="s">
        <v>672</v>
      </c>
      <c r="D1320">
        <v>713740</v>
      </c>
      <c r="E1320" t="s">
        <v>10</v>
      </c>
      <c r="F1320">
        <v>50.177</v>
      </c>
      <c r="G1320">
        <v>-60.121000000000002</v>
      </c>
      <c r="H1320">
        <v>-4</v>
      </c>
      <c r="I1320">
        <v>7</v>
      </c>
      <c r="J1320" t="str">
        <f>HYPERLINK("https://climate.onebuilding.org/WMO_Region_4_North_and_Central_America/CAN_Canada/QC_Quebec/CAN_QC_Cap.Whittle.713740_TMYx.2009-2023.zip")</f>
        <v>https://climate.onebuilding.org/WMO_Region_4_North_and_Central_America/CAN_Canada/QC_Quebec/CAN_QC_Cap.Whittle.713740_TMYx.2009-2023.zip</v>
      </c>
    </row>
    <row r="1321" spans="1:10" x14ac:dyDescent="0.25">
      <c r="A1321" t="s">
        <v>6</v>
      </c>
      <c r="B1321" t="s">
        <v>14</v>
      </c>
      <c r="C1321" t="s">
        <v>672</v>
      </c>
      <c r="D1321">
        <v>713740</v>
      </c>
      <c r="E1321" t="s">
        <v>10</v>
      </c>
      <c r="F1321">
        <v>50.177</v>
      </c>
      <c r="G1321">
        <v>-60.121000000000002</v>
      </c>
      <c r="H1321">
        <v>-4</v>
      </c>
      <c r="I1321">
        <v>7</v>
      </c>
      <c r="J1321" t="str">
        <f>HYPERLINK("https://climate.onebuilding.org/WMO_Region_4_North_and_Central_America/CAN_Canada/QC_Quebec/CAN_QC_Cap.Whittle.713740_TMYx.zip")</f>
        <v>https://climate.onebuilding.org/WMO_Region_4_North_and_Central_America/CAN_Canada/QC_Quebec/CAN_QC_Cap.Whittle.713740_TMYx.zip</v>
      </c>
    </row>
    <row r="1322" spans="1:10" x14ac:dyDescent="0.25">
      <c r="A1322" t="s">
        <v>6</v>
      </c>
      <c r="B1322" t="s">
        <v>14</v>
      </c>
      <c r="C1322" t="s">
        <v>674</v>
      </c>
      <c r="D1322">
        <v>713750</v>
      </c>
      <c r="E1322" t="s">
        <v>675</v>
      </c>
      <c r="F1322">
        <v>50.220799999999997</v>
      </c>
      <c r="G1322">
        <v>-64.2072</v>
      </c>
      <c r="H1322">
        <v>-5</v>
      </c>
      <c r="I1322">
        <v>9</v>
      </c>
      <c r="J1322" t="str">
        <f>HYPERLINK("https://climate.onebuilding.org/WMO_Region_4_North_and_Central_America/CAN_Canada/QC_Quebec/CAN_QC_Ile.aux.Perroquets.713750_TMYx.2004-2018.zip")</f>
        <v>https://climate.onebuilding.org/WMO_Region_4_North_and_Central_America/CAN_Canada/QC_Quebec/CAN_QC_Ile.aux.Perroquets.713750_TMYx.2004-2018.zip</v>
      </c>
    </row>
    <row r="1323" spans="1:10" x14ac:dyDescent="0.25">
      <c r="A1323" t="s">
        <v>6</v>
      </c>
      <c r="B1323" t="s">
        <v>14</v>
      </c>
      <c r="C1323" t="s">
        <v>674</v>
      </c>
      <c r="D1323">
        <v>713750</v>
      </c>
      <c r="E1323" t="s">
        <v>10</v>
      </c>
      <c r="F1323">
        <v>50.220799999999997</v>
      </c>
      <c r="G1323">
        <v>-64.2072</v>
      </c>
      <c r="H1323">
        <v>-5</v>
      </c>
      <c r="I1323">
        <v>9</v>
      </c>
      <c r="J1323" t="str">
        <f>HYPERLINK("https://climate.onebuilding.org/WMO_Region_4_North_and_Central_America/CAN_Canada/QC_Quebec/CAN_QC_Ile.aux.Perroquets.713750_TMYx.2007-2021.zip")</f>
        <v>https://climate.onebuilding.org/WMO_Region_4_North_and_Central_America/CAN_Canada/QC_Quebec/CAN_QC_Ile.aux.Perroquets.713750_TMYx.2007-2021.zip</v>
      </c>
    </row>
    <row r="1324" spans="1:10" x14ac:dyDescent="0.25">
      <c r="A1324" t="s">
        <v>6</v>
      </c>
      <c r="B1324" t="s">
        <v>14</v>
      </c>
      <c r="C1324" t="s">
        <v>674</v>
      </c>
      <c r="D1324">
        <v>713750</v>
      </c>
      <c r="E1324" t="s">
        <v>10</v>
      </c>
      <c r="F1324">
        <v>50.220799999999997</v>
      </c>
      <c r="G1324">
        <v>-64.2072</v>
      </c>
      <c r="H1324">
        <v>-5</v>
      </c>
      <c r="I1324">
        <v>9</v>
      </c>
      <c r="J1324" t="str">
        <f>HYPERLINK("https://climate.onebuilding.org/WMO_Region_4_North_and_Central_America/CAN_Canada/QC_Quebec/CAN_QC_Ile.aux.Perroquets.713750_TMYx.2009-2023.zip")</f>
        <v>https://climate.onebuilding.org/WMO_Region_4_North_and_Central_America/CAN_Canada/QC_Quebec/CAN_QC_Ile.aux.Perroquets.713750_TMYx.2009-2023.zip</v>
      </c>
    </row>
    <row r="1325" spans="1:10" x14ac:dyDescent="0.25">
      <c r="A1325" t="s">
        <v>6</v>
      </c>
      <c r="B1325" t="s">
        <v>14</v>
      </c>
      <c r="C1325" t="s">
        <v>674</v>
      </c>
      <c r="D1325">
        <v>713750</v>
      </c>
      <c r="E1325" t="s">
        <v>10</v>
      </c>
      <c r="F1325">
        <v>50.220799999999997</v>
      </c>
      <c r="G1325">
        <v>-64.2072</v>
      </c>
      <c r="H1325">
        <v>-5</v>
      </c>
      <c r="I1325">
        <v>9</v>
      </c>
      <c r="J1325" t="str">
        <f>HYPERLINK("https://climate.onebuilding.org/WMO_Region_4_North_and_Central_America/CAN_Canada/QC_Quebec/CAN_QC_Ile.aux.Perroquets.713750_TMYx.zip")</f>
        <v>https://climate.onebuilding.org/WMO_Region_4_North_and_Central_America/CAN_Canada/QC_Quebec/CAN_QC_Ile.aux.Perroquets.713750_TMYx.zip</v>
      </c>
    </row>
    <row r="1326" spans="1:10" x14ac:dyDescent="0.25">
      <c r="A1326" t="s">
        <v>6</v>
      </c>
      <c r="B1326" t="s">
        <v>14</v>
      </c>
      <c r="C1326" t="s">
        <v>676</v>
      </c>
      <c r="D1326">
        <v>713760</v>
      </c>
      <c r="E1326" t="s">
        <v>677</v>
      </c>
      <c r="F1326">
        <v>46.067</v>
      </c>
      <c r="G1326">
        <v>-74.55</v>
      </c>
      <c r="H1326">
        <v>-5</v>
      </c>
      <c r="I1326">
        <v>239</v>
      </c>
      <c r="J1326" t="str">
        <f>HYPERLINK("https://climate.onebuilding.org/WMO_Region_4_North_and_Central_America/CAN_Canada/QC_Quebec/CAN_QC_St.Jovite.713760_TMYx.2004-2018.zip")</f>
        <v>https://climate.onebuilding.org/WMO_Region_4_North_and_Central_America/CAN_Canada/QC_Quebec/CAN_QC_St.Jovite.713760_TMYx.2004-2018.zip</v>
      </c>
    </row>
    <row r="1327" spans="1:10" x14ac:dyDescent="0.25">
      <c r="A1327" t="s">
        <v>6</v>
      </c>
      <c r="B1327" t="s">
        <v>14</v>
      </c>
      <c r="C1327" t="s">
        <v>676</v>
      </c>
      <c r="D1327">
        <v>713760</v>
      </c>
      <c r="E1327" t="s">
        <v>10</v>
      </c>
      <c r="F1327">
        <v>46.080280000000002</v>
      </c>
      <c r="G1327">
        <v>-74.555840000000003</v>
      </c>
      <c r="H1327">
        <v>-5</v>
      </c>
      <c r="I1327">
        <v>239</v>
      </c>
      <c r="J1327" t="str">
        <f>HYPERLINK("https://climate.onebuilding.org/WMO_Region_4_North_and_Central_America/CAN_Canada/QC_Quebec/CAN_QC_St.Jovite.713760_TMYx.2007-2021.zip")</f>
        <v>https://climate.onebuilding.org/WMO_Region_4_North_and_Central_America/CAN_Canada/QC_Quebec/CAN_QC_St.Jovite.713760_TMYx.2007-2021.zip</v>
      </c>
    </row>
    <row r="1328" spans="1:10" x14ac:dyDescent="0.25">
      <c r="A1328" t="s">
        <v>6</v>
      </c>
      <c r="B1328" t="s">
        <v>14</v>
      </c>
      <c r="C1328" t="s">
        <v>676</v>
      </c>
      <c r="D1328">
        <v>713760</v>
      </c>
      <c r="E1328" t="s">
        <v>10</v>
      </c>
      <c r="F1328">
        <v>46.080280000000002</v>
      </c>
      <c r="G1328">
        <v>-74.555840000000003</v>
      </c>
      <c r="H1328">
        <v>-5</v>
      </c>
      <c r="I1328">
        <v>239</v>
      </c>
      <c r="J1328" t="str">
        <f>HYPERLINK("https://climate.onebuilding.org/WMO_Region_4_North_and_Central_America/CAN_Canada/QC_Quebec/CAN_QC_St.Jovite.713760_TMYx.2009-2023.zip")</f>
        <v>https://climate.onebuilding.org/WMO_Region_4_North_and_Central_America/CAN_Canada/QC_Quebec/CAN_QC_St.Jovite.713760_TMYx.2009-2023.zip</v>
      </c>
    </row>
    <row r="1329" spans="1:10" x14ac:dyDescent="0.25">
      <c r="A1329" t="s">
        <v>6</v>
      </c>
      <c r="B1329" t="s">
        <v>14</v>
      </c>
      <c r="C1329" t="s">
        <v>676</v>
      </c>
      <c r="D1329">
        <v>713760</v>
      </c>
      <c r="E1329" t="s">
        <v>10</v>
      </c>
      <c r="F1329">
        <v>46.080280000000002</v>
      </c>
      <c r="G1329">
        <v>-74.555840000000003</v>
      </c>
      <c r="H1329">
        <v>-5</v>
      </c>
      <c r="I1329">
        <v>239</v>
      </c>
      <c r="J1329" t="str">
        <f>HYPERLINK("https://climate.onebuilding.org/WMO_Region_4_North_and_Central_America/CAN_Canada/QC_Quebec/CAN_QC_St.Jovite.713760_TMYx.zip")</f>
        <v>https://climate.onebuilding.org/WMO_Region_4_North_and_Central_America/CAN_Canada/QC_Quebec/CAN_QC_St.Jovite.713760_TMYx.zip</v>
      </c>
    </row>
    <row r="1330" spans="1:10" x14ac:dyDescent="0.25">
      <c r="A1330" t="s">
        <v>6</v>
      </c>
      <c r="B1330" t="s">
        <v>14</v>
      </c>
      <c r="C1330" t="s">
        <v>678</v>
      </c>
      <c r="D1330">
        <v>713770</v>
      </c>
      <c r="E1330" t="s">
        <v>679</v>
      </c>
      <c r="F1330">
        <v>45.427199999999999</v>
      </c>
      <c r="G1330">
        <v>-73.929199999999994</v>
      </c>
      <c r="H1330">
        <v>-5</v>
      </c>
      <c r="I1330">
        <v>39</v>
      </c>
      <c r="J1330" t="str">
        <f>HYPERLINK("https://climate.onebuilding.org/WMO_Region_4_North_and_Central_America/CAN_Canada/QC_Quebec/CAN_QC_Ste.Anne.de.Bellevue.713770_TMYx.2004-2018.zip")</f>
        <v>https://climate.onebuilding.org/WMO_Region_4_North_and_Central_America/CAN_Canada/QC_Quebec/CAN_QC_Ste.Anne.de.Bellevue.713770_TMYx.2004-2018.zip</v>
      </c>
    </row>
    <row r="1331" spans="1:10" x14ac:dyDescent="0.25">
      <c r="A1331" t="s">
        <v>6</v>
      </c>
      <c r="B1331" t="s">
        <v>14</v>
      </c>
      <c r="C1331" t="s">
        <v>678</v>
      </c>
      <c r="D1331">
        <v>713770</v>
      </c>
      <c r="E1331" t="s">
        <v>10</v>
      </c>
      <c r="F1331">
        <v>45.427199999999999</v>
      </c>
      <c r="G1331">
        <v>-73.929199999999994</v>
      </c>
      <c r="H1331">
        <v>-5</v>
      </c>
      <c r="I1331">
        <v>39</v>
      </c>
      <c r="J1331" t="str">
        <f>HYPERLINK("https://climate.onebuilding.org/WMO_Region_4_North_and_Central_America/CAN_Canada/QC_Quebec/CAN_QC_Ste.Anne.de.Bellevue.713770_TMYx.2007-2021.zip")</f>
        <v>https://climate.onebuilding.org/WMO_Region_4_North_and_Central_America/CAN_Canada/QC_Quebec/CAN_QC_Ste.Anne.de.Bellevue.713770_TMYx.2007-2021.zip</v>
      </c>
    </row>
    <row r="1332" spans="1:10" x14ac:dyDescent="0.25">
      <c r="A1332" t="s">
        <v>6</v>
      </c>
      <c r="B1332" t="s">
        <v>14</v>
      </c>
      <c r="C1332" t="s">
        <v>678</v>
      </c>
      <c r="D1332">
        <v>713770</v>
      </c>
      <c r="E1332" t="s">
        <v>10</v>
      </c>
      <c r="F1332">
        <v>45.427199999999999</v>
      </c>
      <c r="G1332">
        <v>-73.929199999999994</v>
      </c>
      <c r="H1332">
        <v>-5</v>
      </c>
      <c r="I1332">
        <v>39</v>
      </c>
      <c r="J1332" t="str">
        <f>HYPERLINK("https://climate.onebuilding.org/WMO_Region_4_North_and_Central_America/CAN_Canada/QC_Quebec/CAN_QC_Ste.Anne.de.Bellevue.713770_TMYx.2009-2023.zip")</f>
        <v>https://climate.onebuilding.org/WMO_Region_4_North_and_Central_America/CAN_Canada/QC_Quebec/CAN_QC_Ste.Anne.de.Bellevue.713770_TMYx.2009-2023.zip</v>
      </c>
    </row>
    <row r="1333" spans="1:10" x14ac:dyDescent="0.25">
      <c r="A1333" t="s">
        <v>6</v>
      </c>
      <c r="B1333" t="s">
        <v>14</v>
      </c>
      <c r="C1333" t="s">
        <v>678</v>
      </c>
      <c r="D1333">
        <v>713770</v>
      </c>
      <c r="E1333" t="s">
        <v>10</v>
      </c>
      <c r="F1333">
        <v>45.427199999999999</v>
      </c>
      <c r="G1333">
        <v>-73.929199999999994</v>
      </c>
      <c r="H1333">
        <v>-5</v>
      </c>
      <c r="I1333">
        <v>39</v>
      </c>
      <c r="J1333" t="str">
        <f>HYPERLINK("https://climate.onebuilding.org/WMO_Region_4_North_and_Central_America/CAN_Canada/QC_Quebec/CAN_QC_Ste.Anne.de.Bellevue.713770_TMYx.zip")</f>
        <v>https://climate.onebuilding.org/WMO_Region_4_North_and_Central_America/CAN_Canada/QC_Quebec/CAN_QC_Ste.Anne.de.Bellevue.713770_TMYx.zip</v>
      </c>
    </row>
    <row r="1334" spans="1:10" x14ac:dyDescent="0.25">
      <c r="A1334" t="s">
        <v>6</v>
      </c>
      <c r="B1334" t="s">
        <v>14</v>
      </c>
      <c r="C1334" t="s">
        <v>680</v>
      </c>
      <c r="D1334">
        <v>713780</v>
      </c>
      <c r="E1334" t="s">
        <v>681</v>
      </c>
      <c r="F1334">
        <v>47.4</v>
      </c>
      <c r="G1334">
        <v>-72.783000000000001</v>
      </c>
      <c r="H1334">
        <v>-5</v>
      </c>
      <c r="I1334">
        <v>169</v>
      </c>
      <c r="J1334" t="str">
        <f>HYPERLINK("https://climate.onebuilding.org/WMO_Region_4_North_and_Central_America/CAN_Canada/QC_Quebec/CAN_QC_La.Tuque.AP.713780_TMYx.2004-2018.zip")</f>
        <v>https://climate.onebuilding.org/WMO_Region_4_North_and_Central_America/CAN_Canada/QC_Quebec/CAN_QC_La.Tuque.AP.713780_TMYx.2004-2018.zip</v>
      </c>
    </row>
    <row r="1335" spans="1:10" x14ac:dyDescent="0.25">
      <c r="A1335" t="s">
        <v>6</v>
      </c>
      <c r="B1335" t="s">
        <v>14</v>
      </c>
      <c r="C1335" t="s">
        <v>680</v>
      </c>
      <c r="D1335">
        <v>713780</v>
      </c>
      <c r="E1335" t="s">
        <v>10</v>
      </c>
      <c r="F1335">
        <v>47.411000000000001</v>
      </c>
      <c r="G1335">
        <v>-72.787000000000006</v>
      </c>
      <c r="H1335">
        <v>-5</v>
      </c>
      <c r="I1335">
        <v>169</v>
      </c>
      <c r="J1335" t="str">
        <f>HYPERLINK("https://climate.onebuilding.org/WMO_Region_4_North_and_Central_America/CAN_Canada/QC_Quebec/CAN_QC_La.Tuque.AP.713780_TMYx.2007-2021.zip")</f>
        <v>https://climate.onebuilding.org/WMO_Region_4_North_and_Central_America/CAN_Canada/QC_Quebec/CAN_QC_La.Tuque.AP.713780_TMYx.2007-2021.zip</v>
      </c>
    </row>
    <row r="1336" spans="1:10" x14ac:dyDescent="0.25">
      <c r="A1336" t="s">
        <v>6</v>
      </c>
      <c r="B1336" t="s">
        <v>14</v>
      </c>
      <c r="C1336" t="s">
        <v>680</v>
      </c>
      <c r="D1336">
        <v>713780</v>
      </c>
      <c r="E1336" t="s">
        <v>10</v>
      </c>
      <c r="F1336">
        <v>47.411000000000001</v>
      </c>
      <c r="G1336">
        <v>-72.787000000000006</v>
      </c>
      <c r="H1336">
        <v>-5</v>
      </c>
      <c r="I1336">
        <v>169</v>
      </c>
      <c r="J1336" t="str">
        <f>HYPERLINK("https://climate.onebuilding.org/WMO_Region_4_North_and_Central_America/CAN_Canada/QC_Quebec/CAN_QC_La.Tuque.AP.713780_TMYx.2009-2023.zip")</f>
        <v>https://climate.onebuilding.org/WMO_Region_4_North_and_Central_America/CAN_Canada/QC_Quebec/CAN_QC_La.Tuque.AP.713780_TMYx.2009-2023.zip</v>
      </c>
    </row>
    <row r="1337" spans="1:10" x14ac:dyDescent="0.25">
      <c r="A1337" t="s">
        <v>6</v>
      </c>
      <c r="B1337" t="s">
        <v>14</v>
      </c>
      <c r="C1337" t="s">
        <v>680</v>
      </c>
      <c r="D1337">
        <v>713780</v>
      </c>
      <c r="E1337" t="s">
        <v>10</v>
      </c>
      <c r="F1337">
        <v>47.411000000000001</v>
      </c>
      <c r="G1337">
        <v>-72.787000000000006</v>
      </c>
      <c r="H1337">
        <v>-5</v>
      </c>
      <c r="I1337">
        <v>169</v>
      </c>
      <c r="J1337" t="str">
        <f>HYPERLINK("https://climate.onebuilding.org/WMO_Region_4_North_and_Central_America/CAN_Canada/QC_Quebec/CAN_QC_La.Tuque.AP.713780_TMYx.zip")</f>
        <v>https://climate.onebuilding.org/WMO_Region_4_North_and_Central_America/CAN_Canada/QC_Quebec/CAN_QC_La.Tuque.AP.713780_TMYx.zip</v>
      </c>
    </row>
    <row r="1338" spans="1:10" x14ac:dyDescent="0.25">
      <c r="A1338" t="s">
        <v>6</v>
      </c>
      <c r="B1338" t="s">
        <v>14</v>
      </c>
      <c r="C1338" t="s">
        <v>682</v>
      </c>
      <c r="D1338">
        <v>713790</v>
      </c>
      <c r="E1338" t="s">
        <v>683</v>
      </c>
      <c r="F1338">
        <v>48.832999999999998</v>
      </c>
      <c r="G1338">
        <v>-72.533000000000001</v>
      </c>
      <c r="H1338">
        <v>-5</v>
      </c>
      <c r="I1338">
        <v>137</v>
      </c>
      <c r="J1338" t="str">
        <f>HYPERLINK("https://climate.onebuilding.org/WMO_Region_4_North_and_Central_America/CAN_Canada/QC_Quebec/CAN_QC_Normandin.713790_TMYx.2004-2018.zip")</f>
        <v>https://climate.onebuilding.org/WMO_Region_4_North_and_Central_America/CAN_Canada/QC_Quebec/CAN_QC_Normandin.713790_TMYx.2004-2018.zip</v>
      </c>
    </row>
    <row r="1339" spans="1:10" x14ac:dyDescent="0.25">
      <c r="A1339" t="s">
        <v>6</v>
      </c>
      <c r="B1339" t="s">
        <v>14</v>
      </c>
      <c r="C1339" t="s">
        <v>682</v>
      </c>
      <c r="D1339">
        <v>713790</v>
      </c>
      <c r="E1339" t="s">
        <v>10</v>
      </c>
      <c r="F1339">
        <v>48.841999999999999</v>
      </c>
      <c r="G1339">
        <v>-72.546999999999997</v>
      </c>
      <c r="H1339">
        <v>-5</v>
      </c>
      <c r="I1339">
        <v>137</v>
      </c>
      <c r="J1339" t="str">
        <f>HYPERLINK("https://climate.onebuilding.org/WMO_Region_4_North_and_Central_America/CAN_Canada/QC_Quebec/CAN_QC_Normandin.713790_TMYx.2007-2021.zip")</f>
        <v>https://climate.onebuilding.org/WMO_Region_4_North_and_Central_America/CAN_Canada/QC_Quebec/CAN_QC_Normandin.713790_TMYx.2007-2021.zip</v>
      </c>
    </row>
    <row r="1340" spans="1:10" x14ac:dyDescent="0.25">
      <c r="A1340" t="s">
        <v>6</v>
      </c>
      <c r="B1340" t="s">
        <v>14</v>
      </c>
      <c r="C1340" t="s">
        <v>682</v>
      </c>
      <c r="D1340">
        <v>713790</v>
      </c>
      <c r="E1340" t="s">
        <v>10</v>
      </c>
      <c r="F1340">
        <v>48.841999999999999</v>
      </c>
      <c r="G1340">
        <v>-72.546999999999997</v>
      </c>
      <c r="H1340">
        <v>-5</v>
      </c>
      <c r="I1340">
        <v>137</v>
      </c>
      <c r="J1340" t="str">
        <f>HYPERLINK("https://climate.onebuilding.org/WMO_Region_4_North_and_Central_America/CAN_Canada/QC_Quebec/CAN_QC_Normandin.713790_TMYx.2009-2023.zip")</f>
        <v>https://climate.onebuilding.org/WMO_Region_4_North_and_Central_America/CAN_Canada/QC_Quebec/CAN_QC_Normandin.713790_TMYx.2009-2023.zip</v>
      </c>
    </row>
    <row r="1341" spans="1:10" x14ac:dyDescent="0.25">
      <c r="A1341" t="s">
        <v>6</v>
      </c>
      <c r="B1341" t="s">
        <v>14</v>
      </c>
      <c r="C1341" t="s">
        <v>682</v>
      </c>
      <c r="D1341">
        <v>713790</v>
      </c>
      <c r="E1341" t="s">
        <v>10</v>
      </c>
      <c r="F1341">
        <v>48.841999999999999</v>
      </c>
      <c r="G1341">
        <v>-72.546999999999997</v>
      </c>
      <c r="H1341">
        <v>-5</v>
      </c>
      <c r="I1341">
        <v>137</v>
      </c>
      <c r="J1341" t="str">
        <f>HYPERLINK("https://climate.onebuilding.org/WMO_Region_4_North_and_Central_America/CAN_Canada/QC_Quebec/CAN_QC_Normandin.713790_TMYx.zip")</f>
        <v>https://climate.onebuilding.org/WMO_Region_4_North_and_Central_America/CAN_Canada/QC_Quebec/CAN_QC_Normandin.713790_TMYx.zip</v>
      </c>
    </row>
    <row r="1342" spans="1:10" x14ac:dyDescent="0.25">
      <c r="A1342" t="s">
        <v>6</v>
      </c>
      <c r="B1342" t="s">
        <v>17</v>
      </c>
      <c r="C1342" t="s">
        <v>684</v>
      </c>
      <c r="D1342">
        <v>713800</v>
      </c>
      <c r="E1342" t="s">
        <v>685</v>
      </c>
      <c r="F1342">
        <v>52.716999999999999</v>
      </c>
      <c r="G1342">
        <v>-113.9</v>
      </c>
      <c r="H1342">
        <v>-7</v>
      </c>
      <c r="I1342">
        <v>855</v>
      </c>
      <c r="J1342" t="str">
        <f>HYPERLINK("https://climate.onebuilding.org/WMO_Region_4_North_and_Central_America/CAN_Canada/AB_Alberta/CAN_AB_Crestomere.AgCM.713800_TMYx.2004-2018.zip")</f>
        <v>https://climate.onebuilding.org/WMO_Region_4_North_and_Central_America/CAN_Canada/AB_Alberta/CAN_AB_Crestomere.AgCM.713800_TMYx.2004-2018.zip</v>
      </c>
    </row>
    <row r="1343" spans="1:10" x14ac:dyDescent="0.25">
      <c r="A1343" t="s">
        <v>6</v>
      </c>
      <c r="B1343" t="s">
        <v>17</v>
      </c>
      <c r="C1343" t="s">
        <v>684</v>
      </c>
      <c r="D1343">
        <v>713800</v>
      </c>
      <c r="E1343" t="s">
        <v>10</v>
      </c>
      <c r="F1343">
        <v>52.732779999999998</v>
      </c>
      <c r="G1343">
        <v>-113.9028</v>
      </c>
      <c r="H1343">
        <v>-7</v>
      </c>
      <c r="I1343">
        <v>855</v>
      </c>
      <c r="J1343" t="str">
        <f>HYPERLINK("https://climate.onebuilding.org/WMO_Region_4_North_and_Central_America/CAN_Canada/AB_Alberta/CAN_AB_Crestomere.AgCM.713800_TMYx.2007-2021.zip")</f>
        <v>https://climate.onebuilding.org/WMO_Region_4_North_and_Central_America/CAN_Canada/AB_Alberta/CAN_AB_Crestomere.AgCM.713800_TMYx.2007-2021.zip</v>
      </c>
    </row>
    <row r="1344" spans="1:10" x14ac:dyDescent="0.25">
      <c r="A1344" t="s">
        <v>6</v>
      </c>
      <c r="B1344" t="s">
        <v>17</v>
      </c>
      <c r="C1344" t="s">
        <v>684</v>
      </c>
      <c r="D1344">
        <v>713800</v>
      </c>
      <c r="E1344" t="s">
        <v>10</v>
      </c>
      <c r="F1344">
        <v>52.732779999999998</v>
      </c>
      <c r="G1344">
        <v>-113.9028</v>
      </c>
      <c r="H1344">
        <v>-7</v>
      </c>
      <c r="I1344">
        <v>855</v>
      </c>
      <c r="J1344" t="str">
        <f>HYPERLINK("https://climate.onebuilding.org/WMO_Region_4_North_and_Central_America/CAN_Canada/AB_Alberta/CAN_AB_Crestomere.AgCM.713800_TMYx.2009-2023.zip")</f>
        <v>https://climate.onebuilding.org/WMO_Region_4_North_and_Central_America/CAN_Canada/AB_Alberta/CAN_AB_Crestomere.AgCM.713800_TMYx.2009-2023.zip</v>
      </c>
    </row>
    <row r="1345" spans="1:10" x14ac:dyDescent="0.25">
      <c r="A1345" t="s">
        <v>6</v>
      </c>
      <c r="B1345" t="s">
        <v>17</v>
      </c>
      <c r="C1345" t="s">
        <v>684</v>
      </c>
      <c r="D1345">
        <v>713800</v>
      </c>
      <c r="E1345" t="s">
        <v>10</v>
      </c>
      <c r="F1345">
        <v>52.732779999999998</v>
      </c>
      <c r="G1345">
        <v>-113.9028</v>
      </c>
      <c r="H1345">
        <v>-7</v>
      </c>
      <c r="I1345">
        <v>855</v>
      </c>
      <c r="J1345" t="str">
        <f>HYPERLINK("https://climate.onebuilding.org/WMO_Region_4_North_and_Central_America/CAN_Canada/AB_Alberta/CAN_AB_Crestomere.AgCM.713800_TMYx.zip")</f>
        <v>https://climate.onebuilding.org/WMO_Region_4_North_and_Central_America/CAN_Canada/AB_Alberta/CAN_AB_Crestomere.AgCM.713800_TMYx.zip</v>
      </c>
    </row>
    <row r="1346" spans="1:10" x14ac:dyDescent="0.25">
      <c r="A1346" t="s">
        <v>6</v>
      </c>
      <c r="B1346" t="s">
        <v>14</v>
      </c>
      <c r="C1346" t="s">
        <v>686</v>
      </c>
      <c r="D1346">
        <v>713810</v>
      </c>
      <c r="E1346" t="s">
        <v>687</v>
      </c>
      <c r="F1346">
        <v>48.582999999999998</v>
      </c>
      <c r="G1346">
        <v>-71.7</v>
      </c>
      <c r="H1346">
        <v>-5</v>
      </c>
      <c r="I1346">
        <v>113</v>
      </c>
      <c r="J1346" t="str">
        <f>HYPERLINK("https://climate.onebuilding.org/WMO_Region_4_North_and_Central_America/CAN_Canada/QC_Quebec/CAN_QC_Mistook.713810_TMYx.2004-2018.zip")</f>
        <v>https://climate.onebuilding.org/WMO_Region_4_North_and_Central_America/CAN_Canada/QC_Quebec/CAN_QC_Mistook.713810_TMYx.2004-2018.zip</v>
      </c>
    </row>
    <row r="1347" spans="1:10" x14ac:dyDescent="0.25">
      <c r="A1347" t="s">
        <v>6</v>
      </c>
      <c r="B1347" t="s">
        <v>14</v>
      </c>
      <c r="C1347" t="s">
        <v>686</v>
      </c>
      <c r="D1347">
        <v>713810</v>
      </c>
      <c r="E1347" t="s">
        <v>10</v>
      </c>
      <c r="F1347">
        <v>48.598300000000002</v>
      </c>
      <c r="G1347">
        <v>-71.715800000000002</v>
      </c>
      <c r="H1347">
        <v>-5</v>
      </c>
      <c r="I1347">
        <v>113</v>
      </c>
      <c r="J1347" t="str">
        <f>HYPERLINK("https://climate.onebuilding.org/WMO_Region_4_North_and_Central_America/CAN_Canada/QC_Quebec/CAN_QC_Mistook.713810_TMYx.2007-2021.zip")</f>
        <v>https://climate.onebuilding.org/WMO_Region_4_North_and_Central_America/CAN_Canada/QC_Quebec/CAN_QC_Mistook.713810_TMYx.2007-2021.zip</v>
      </c>
    </row>
    <row r="1348" spans="1:10" x14ac:dyDescent="0.25">
      <c r="A1348" t="s">
        <v>6</v>
      </c>
      <c r="B1348" t="s">
        <v>14</v>
      </c>
      <c r="C1348" t="s">
        <v>686</v>
      </c>
      <c r="D1348">
        <v>713810</v>
      </c>
      <c r="E1348" t="s">
        <v>10</v>
      </c>
      <c r="F1348">
        <v>48.598300000000002</v>
      </c>
      <c r="G1348">
        <v>-71.715800000000002</v>
      </c>
      <c r="H1348">
        <v>-5</v>
      </c>
      <c r="I1348">
        <v>113</v>
      </c>
      <c r="J1348" t="str">
        <f>HYPERLINK("https://climate.onebuilding.org/WMO_Region_4_North_and_Central_America/CAN_Canada/QC_Quebec/CAN_QC_Mistook.713810_TMYx.2009-2023.zip")</f>
        <v>https://climate.onebuilding.org/WMO_Region_4_North_and_Central_America/CAN_Canada/QC_Quebec/CAN_QC_Mistook.713810_TMYx.2009-2023.zip</v>
      </c>
    </row>
    <row r="1349" spans="1:10" x14ac:dyDescent="0.25">
      <c r="A1349" t="s">
        <v>6</v>
      </c>
      <c r="B1349" t="s">
        <v>14</v>
      </c>
      <c r="C1349" t="s">
        <v>686</v>
      </c>
      <c r="D1349">
        <v>713810</v>
      </c>
      <c r="E1349" t="s">
        <v>10</v>
      </c>
      <c r="F1349">
        <v>48.598300000000002</v>
      </c>
      <c r="G1349">
        <v>-71.715800000000002</v>
      </c>
      <c r="H1349">
        <v>-5</v>
      </c>
      <c r="I1349">
        <v>113</v>
      </c>
      <c r="J1349" t="str">
        <f>HYPERLINK("https://climate.onebuilding.org/WMO_Region_4_North_and_Central_America/CAN_Canada/QC_Quebec/CAN_QC_Mistook.713810_TMYx.zip")</f>
        <v>https://climate.onebuilding.org/WMO_Region_4_North_and_Central_America/CAN_Canada/QC_Quebec/CAN_QC_Mistook.713810_TMYx.zip</v>
      </c>
    </row>
    <row r="1350" spans="1:10" x14ac:dyDescent="0.25">
      <c r="A1350" t="s">
        <v>6</v>
      </c>
      <c r="B1350" t="s">
        <v>14</v>
      </c>
      <c r="C1350" t="s">
        <v>688</v>
      </c>
      <c r="D1350">
        <v>713820</v>
      </c>
      <c r="E1350" t="s">
        <v>689</v>
      </c>
      <c r="F1350">
        <v>47.55</v>
      </c>
      <c r="G1350">
        <v>-71.216999999999999</v>
      </c>
      <c r="H1350">
        <v>-5</v>
      </c>
      <c r="I1350">
        <v>791</v>
      </c>
      <c r="J1350" t="str">
        <f>HYPERLINK("https://climate.onebuilding.org/WMO_Region_4_North_and_Central_America/CAN_Canada/QC_Quebec/CAN_QC_L-Etape.713820_TMYx.2004-2018.zip")</f>
        <v>https://climate.onebuilding.org/WMO_Region_4_North_and_Central_America/CAN_Canada/QC_Quebec/CAN_QC_L-Etape.713820_TMYx.2004-2018.zip</v>
      </c>
    </row>
    <row r="1351" spans="1:10" x14ac:dyDescent="0.25">
      <c r="A1351" t="s">
        <v>6</v>
      </c>
      <c r="B1351" t="s">
        <v>14</v>
      </c>
      <c r="C1351" t="s">
        <v>688</v>
      </c>
      <c r="D1351">
        <v>713820</v>
      </c>
      <c r="E1351" t="s">
        <v>10</v>
      </c>
      <c r="F1351">
        <v>47.562220000000003</v>
      </c>
      <c r="G1351">
        <v>-71.228890000000007</v>
      </c>
      <c r="H1351">
        <v>-5</v>
      </c>
      <c r="I1351">
        <v>791</v>
      </c>
      <c r="J1351" t="str">
        <f>HYPERLINK("https://climate.onebuilding.org/WMO_Region_4_North_and_Central_America/CAN_Canada/QC_Quebec/CAN_QC_L-Etape.713820_TMYx.2007-2021.zip")</f>
        <v>https://climate.onebuilding.org/WMO_Region_4_North_and_Central_America/CAN_Canada/QC_Quebec/CAN_QC_L-Etape.713820_TMYx.2007-2021.zip</v>
      </c>
    </row>
    <row r="1352" spans="1:10" x14ac:dyDescent="0.25">
      <c r="A1352" t="s">
        <v>6</v>
      </c>
      <c r="B1352" t="s">
        <v>14</v>
      </c>
      <c r="C1352" t="s">
        <v>688</v>
      </c>
      <c r="D1352">
        <v>713820</v>
      </c>
      <c r="E1352" t="s">
        <v>10</v>
      </c>
      <c r="F1352">
        <v>47.562220000000003</v>
      </c>
      <c r="G1352">
        <v>-71.228890000000007</v>
      </c>
      <c r="H1352">
        <v>-5</v>
      </c>
      <c r="I1352">
        <v>791</v>
      </c>
      <c r="J1352" t="str">
        <f>HYPERLINK("https://climate.onebuilding.org/WMO_Region_4_North_and_Central_America/CAN_Canada/QC_Quebec/CAN_QC_L-Etape.713820_TMYx.2009-2023.zip")</f>
        <v>https://climate.onebuilding.org/WMO_Region_4_North_and_Central_America/CAN_Canada/QC_Quebec/CAN_QC_L-Etape.713820_TMYx.2009-2023.zip</v>
      </c>
    </row>
    <row r="1353" spans="1:10" x14ac:dyDescent="0.25">
      <c r="A1353" t="s">
        <v>6</v>
      </c>
      <c r="B1353" t="s">
        <v>14</v>
      </c>
      <c r="C1353" t="s">
        <v>688</v>
      </c>
      <c r="D1353">
        <v>713820</v>
      </c>
      <c r="E1353" t="s">
        <v>10</v>
      </c>
      <c r="F1353">
        <v>47.562220000000003</v>
      </c>
      <c r="G1353">
        <v>-71.228890000000007</v>
      </c>
      <c r="H1353">
        <v>-5</v>
      </c>
      <c r="I1353">
        <v>791</v>
      </c>
      <c r="J1353" t="str">
        <f>HYPERLINK("https://climate.onebuilding.org/WMO_Region_4_North_and_Central_America/CAN_Canada/QC_Quebec/CAN_QC_L-Etape.713820_TMYx.zip")</f>
        <v>https://climate.onebuilding.org/WMO_Region_4_North_and_Central_America/CAN_Canada/QC_Quebec/CAN_QC_L-Etape.713820_TMYx.zip</v>
      </c>
    </row>
    <row r="1354" spans="1:10" x14ac:dyDescent="0.25">
      <c r="A1354" t="s">
        <v>6</v>
      </c>
      <c r="B1354" t="s">
        <v>14</v>
      </c>
      <c r="C1354" t="s">
        <v>690</v>
      </c>
      <c r="D1354">
        <v>713830</v>
      </c>
      <c r="E1354" t="s">
        <v>691</v>
      </c>
      <c r="F1354">
        <v>50.716999999999999</v>
      </c>
      <c r="G1354">
        <v>-71</v>
      </c>
      <c r="H1354">
        <v>-5</v>
      </c>
      <c r="I1354">
        <v>498</v>
      </c>
      <c r="J1354" t="str">
        <f>HYPERLINK("https://climate.onebuilding.org/WMO_Region_4_North_and_Central_America/CAN_Canada/QC_Quebec/CAN_QC_Bonnard.713830_TMYx.2004-2018.zip")</f>
        <v>https://climate.onebuilding.org/WMO_Region_4_North_and_Central_America/CAN_Canada/QC_Quebec/CAN_QC_Bonnard.713830_TMYx.2004-2018.zip</v>
      </c>
    </row>
    <row r="1355" spans="1:10" x14ac:dyDescent="0.25">
      <c r="A1355" t="s">
        <v>6</v>
      </c>
      <c r="B1355" t="s">
        <v>14</v>
      </c>
      <c r="C1355" t="s">
        <v>690</v>
      </c>
      <c r="D1355">
        <v>713830</v>
      </c>
      <c r="E1355" t="s">
        <v>10</v>
      </c>
      <c r="F1355">
        <v>50.72889</v>
      </c>
      <c r="G1355">
        <v>-71.013050000000007</v>
      </c>
      <c r="H1355">
        <v>-5</v>
      </c>
      <c r="I1355">
        <v>498</v>
      </c>
      <c r="J1355" t="str">
        <f>HYPERLINK("https://climate.onebuilding.org/WMO_Region_4_North_and_Central_America/CAN_Canada/QC_Quebec/CAN_QC_Bonnard.713830_TMYx.2007-2021.zip")</f>
        <v>https://climate.onebuilding.org/WMO_Region_4_North_and_Central_America/CAN_Canada/QC_Quebec/CAN_QC_Bonnard.713830_TMYx.2007-2021.zip</v>
      </c>
    </row>
    <row r="1356" spans="1:10" x14ac:dyDescent="0.25">
      <c r="A1356" t="s">
        <v>6</v>
      </c>
      <c r="B1356" t="s">
        <v>14</v>
      </c>
      <c r="C1356" t="s">
        <v>690</v>
      </c>
      <c r="D1356">
        <v>713830</v>
      </c>
      <c r="E1356" t="s">
        <v>10</v>
      </c>
      <c r="F1356">
        <v>50.72889</v>
      </c>
      <c r="G1356">
        <v>-71.013050000000007</v>
      </c>
      <c r="H1356">
        <v>-5</v>
      </c>
      <c r="I1356">
        <v>498</v>
      </c>
      <c r="J1356" t="str">
        <f>HYPERLINK("https://climate.onebuilding.org/WMO_Region_4_North_and_Central_America/CAN_Canada/QC_Quebec/CAN_QC_Bonnard.713830_TMYx.2009-2023.zip")</f>
        <v>https://climate.onebuilding.org/WMO_Region_4_North_and_Central_America/CAN_Canada/QC_Quebec/CAN_QC_Bonnard.713830_TMYx.2009-2023.zip</v>
      </c>
    </row>
    <row r="1357" spans="1:10" x14ac:dyDescent="0.25">
      <c r="A1357" t="s">
        <v>6</v>
      </c>
      <c r="B1357" t="s">
        <v>14</v>
      </c>
      <c r="C1357" t="s">
        <v>690</v>
      </c>
      <c r="D1357">
        <v>713830</v>
      </c>
      <c r="E1357" t="s">
        <v>10</v>
      </c>
      <c r="F1357">
        <v>50.72889</v>
      </c>
      <c r="G1357">
        <v>-71.013050000000007</v>
      </c>
      <c r="H1357">
        <v>-5</v>
      </c>
      <c r="I1357">
        <v>498</v>
      </c>
      <c r="J1357" t="str">
        <f>HYPERLINK("https://climate.onebuilding.org/WMO_Region_4_North_and_Central_America/CAN_Canada/QC_Quebec/CAN_QC_Bonnard.713830_TMYx.zip")</f>
        <v>https://climate.onebuilding.org/WMO_Region_4_North_and_Central_America/CAN_Canada/QC_Quebec/CAN_QC_Bonnard.713830_TMYx.zip</v>
      </c>
    </row>
    <row r="1358" spans="1:10" x14ac:dyDescent="0.25">
      <c r="A1358" t="s">
        <v>6</v>
      </c>
      <c r="B1358" t="s">
        <v>14</v>
      </c>
      <c r="C1358" t="s">
        <v>692</v>
      </c>
      <c r="D1358">
        <v>713840</v>
      </c>
      <c r="E1358" t="s">
        <v>693</v>
      </c>
      <c r="F1358">
        <v>47.067</v>
      </c>
      <c r="G1358">
        <v>-70.766999999999996</v>
      </c>
      <c r="H1358">
        <v>-5</v>
      </c>
      <c r="I1358">
        <v>6</v>
      </c>
      <c r="J1358" t="str">
        <f>HYPERLINK("https://climate.onebuilding.org/WMO_Region_4_North_and_Central_America/CAN_Canada/QC_Quebec/CAN_QC_Cap.Tourmente.713840_TMYx.2004-2018.zip")</f>
        <v>https://climate.onebuilding.org/WMO_Region_4_North_and_Central_America/CAN_Canada/QC_Quebec/CAN_QC_Cap.Tourmente.713840_TMYx.2004-2018.zip</v>
      </c>
    </row>
    <row r="1359" spans="1:10" x14ac:dyDescent="0.25">
      <c r="A1359" t="s">
        <v>6</v>
      </c>
      <c r="B1359" t="s">
        <v>14</v>
      </c>
      <c r="C1359" t="s">
        <v>692</v>
      </c>
      <c r="D1359">
        <v>713840</v>
      </c>
      <c r="E1359" t="s">
        <v>10</v>
      </c>
      <c r="F1359">
        <v>47.078609999999998</v>
      </c>
      <c r="G1359">
        <v>-70.780839999999998</v>
      </c>
      <c r="H1359">
        <v>-5</v>
      </c>
      <c r="I1359">
        <v>6</v>
      </c>
      <c r="J1359" t="str">
        <f>HYPERLINK("https://climate.onebuilding.org/WMO_Region_4_North_and_Central_America/CAN_Canada/QC_Quebec/CAN_QC_Cap.Tourmente.713840_TMYx.2007-2021.zip")</f>
        <v>https://climate.onebuilding.org/WMO_Region_4_North_and_Central_America/CAN_Canada/QC_Quebec/CAN_QC_Cap.Tourmente.713840_TMYx.2007-2021.zip</v>
      </c>
    </row>
    <row r="1360" spans="1:10" x14ac:dyDescent="0.25">
      <c r="A1360" t="s">
        <v>6</v>
      </c>
      <c r="B1360" t="s">
        <v>14</v>
      </c>
      <c r="C1360" t="s">
        <v>692</v>
      </c>
      <c r="D1360">
        <v>713840</v>
      </c>
      <c r="E1360" t="s">
        <v>10</v>
      </c>
      <c r="F1360">
        <v>47.078609999999998</v>
      </c>
      <c r="G1360">
        <v>-70.780839999999998</v>
      </c>
      <c r="H1360">
        <v>-5</v>
      </c>
      <c r="I1360">
        <v>6</v>
      </c>
      <c r="J1360" t="str">
        <f>HYPERLINK("https://climate.onebuilding.org/WMO_Region_4_North_and_Central_America/CAN_Canada/QC_Quebec/CAN_QC_Cap.Tourmente.713840_TMYx.2009-2023.zip")</f>
        <v>https://climate.onebuilding.org/WMO_Region_4_North_and_Central_America/CAN_Canada/QC_Quebec/CAN_QC_Cap.Tourmente.713840_TMYx.2009-2023.zip</v>
      </c>
    </row>
    <row r="1361" spans="1:10" x14ac:dyDescent="0.25">
      <c r="A1361" t="s">
        <v>6</v>
      </c>
      <c r="B1361" t="s">
        <v>14</v>
      </c>
      <c r="C1361" t="s">
        <v>692</v>
      </c>
      <c r="D1361">
        <v>713840</v>
      </c>
      <c r="E1361" t="s">
        <v>10</v>
      </c>
      <c r="F1361">
        <v>47.078609999999998</v>
      </c>
      <c r="G1361">
        <v>-70.780839999999998</v>
      </c>
      <c r="H1361">
        <v>-5</v>
      </c>
      <c r="I1361">
        <v>6</v>
      </c>
      <c r="J1361" t="str">
        <f>HYPERLINK("https://climate.onebuilding.org/WMO_Region_4_North_and_Central_America/CAN_Canada/QC_Quebec/CAN_QC_Cap.Tourmente.713840_TMYx.zip")</f>
        <v>https://climate.onebuilding.org/WMO_Region_4_North_and_Central_America/CAN_Canada/QC_Quebec/CAN_QC_Cap.Tourmente.713840_TMYx.zip</v>
      </c>
    </row>
    <row r="1362" spans="1:10" x14ac:dyDescent="0.25">
      <c r="A1362" t="s">
        <v>6</v>
      </c>
      <c r="B1362" t="s">
        <v>14</v>
      </c>
      <c r="C1362" t="s">
        <v>694</v>
      </c>
      <c r="D1362">
        <v>713850</v>
      </c>
      <c r="E1362" t="s">
        <v>695</v>
      </c>
      <c r="F1362">
        <v>48.4</v>
      </c>
      <c r="G1362">
        <v>-68.882999999999996</v>
      </c>
      <c r="H1362">
        <v>-5</v>
      </c>
      <c r="I1362">
        <v>7</v>
      </c>
      <c r="J1362" t="str">
        <f>HYPERLINK("https://climate.onebuilding.org/WMO_Region_4_North_and_Central_America/CAN_Canada/QC_Quebec/CAN_QC_Ile.Bicquette.713850_TMYx.2004-2018.zip")</f>
        <v>https://climate.onebuilding.org/WMO_Region_4_North_and_Central_America/CAN_Canada/QC_Quebec/CAN_QC_Ile.Bicquette.713850_TMYx.2004-2018.zip</v>
      </c>
    </row>
    <row r="1363" spans="1:10" x14ac:dyDescent="0.25">
      <c r="A1363" t="s">
        <v>6</v>
      </c>
      <c r="B1363" t="s">
        <v>14</v>
      </c>
      <c r="C1363" t="s">
        <v>694</v>
      </c>
      <c r="D1363">
        <v>713850</v>
      </c>
      <c r="E1363" t="s">
        <v>10</v>
      </c>
      <c r="F1363">
        <v>48.414999999999999</v>
      </c>
      <c r="G1363">
        <v>-68.893000000000001</v>
      </c>
      <c r="H1363">
        <v>-5</v>
      </c>
      <c r="I1363">
        <v>7</v>
      </c>
      <c r="J1363" t="str">
        <f>HYPERLINK("https://climate.onebuilding.org/WMO_Region_4_North_and_Central_America/CAN_Canada/QC_Quebec/CAN_QC_Ile.Bicquette.713850_TMYx.2007-2021.zip")</f>
        <v>https://climate.onebuilding.org/WMO_Region_4_North_and_Central_America/CAN_Canada/QC_Quebec/CAN_QC_Ile.Bicquette.713850_TMYx.2007-2021.zip</v>
      </c>
    </row>
    <row r="1364" spans="1:10" x14ac:dyDescent="0.25">
      <c r="A1364" t="s">
        <v>6</v>
      </c>
      <c r="B1364" t="s">
        <v>14</v>
      </c>
      <c r="C1364" t="s">
        <v>694</v>
      </c>
      <c r="D1364">
        <v>713850</v>
      </c>
      <c r="E1364" t="s">
        <v>10</v>
      </c>
      <c r="F1364">
        <v>48.414999999999999</v>
      </c>
      <c r="G1364">
        <v>-68.893000000000001</v>
      </c>
      <c r="H1364">
        <v>-5</v>
      </c>
      <c r="I1364">
        <v>7</v>
      </c>
      <c r="J1364" t="str">
        <f>HYPERLINK("https://climate.onebuilding.org/WMO_Region_4_North_and_Central_America/CAN_Canada/QC_Quebec/CAN_QC_Ile.Bicquette.713850_TMYx.2009-2023.zip")</f>
        <v>https://climate.onebuilding.org/WMO_Region_4_North_and_Central_America/CAN_Canada/QC_Quebec/CAN_QC_Ile.Bicquette.713850_TMYx.2009-2023.zip</v>
      </c>
    </row>
    <row r="1365" spans="1:10" x14ac:dyDescent="0.25">
      <c r="A1365" t="s">
        <v>6</v>
      </c>
      <c r="B1365" t="s">
        <v>14</v>
      </c>
      <c r="C1365" t="s">
        <v>694</v>
      </c>
      <c r="D1365">
        <v>713850</v>
      </c>
      <c r="E1365" t="s">
        <v>10</v>
      </c>
      <c r="F1365">
        <v>48.414999999999999</v>
      </c>
      <c r="G1365">
        <v>-68.893000000000001</v>
      </c>
      <c r="H1365">
        <v>-5</v>
      </c>
      <c r="I1365">
        <v>7</v>
      </c>
      <c r="J1365" t="str">
        <f>HYPERLINK("https://climate.onebuilding.org/WMO_Region_4_North_and_Central_America/CAN_Canada/QC_Quebec/CAN_QC_Ile.Bicquette.713850_TMYx.zip")</f>
        <v>https://climate.onebuilding.org/WMO_Region_4_North_and_Central_America/CAN_Canada/QC_Quebec/CAN_QC_Ile.Bicquette.713850_TMYx.zip</v>
      </c>
    </row>
    <row r="1366" spans="1:10" x14ac:dyDescent="0.25">
      <c r="A1366" t="s">
        <v>6</v>
      </c>
      <c r="B1366" t="s">
        <v>14</v>
      </c>
      <c r="C1366" t="s">
        <v>696</v>
      </c>
      <c r="D1366">
        <v>713860</v>
      </c>
      <c r="E1366" t="s">
        <v>697</v>
      </c>
      <c r="F1366">
        <v>48.472000000000001</v>
      </c>
      <c r="G1366">
        <v>-67.434700000000007</v>
      </c>
      <c r="H1366">
        <v>-5</v>
      </c>
      <c r="I1366">
        <v>166</v>
      </c>
      <c r="J1366" t="str">
        <f>HYPERLINK("https://climate.onebuilding.org/WMO_Region_4_North_and_Central_America/CAN_Canada/QC_Quebec/CAN_QC_Amqui.713860_TMYx.2004-2018.zip")</f>
        <v>https://climate.onebuilding.org/WMO_Region_4_North_and_Central_America/CAN_Canada/QC_Quebec/CAN_QC_Amqui.713860_TMYx.2004-2018.zip</v>
      </c>
    </row>
    <row r="1367" spans="1:10" x14ac:dyDescent="0.25">
      <c r="A1367" t="s">
        <v>6</v>
      </c>
      <c r="B1367" t="s">
        <v>14</v>
      </c>
      <c r="C1367" t="s">
        <v>696</v>
      </c>
      <c r="D1367">
        <v>713860</v>
      </c>
      <c r="E1367" t="s">
        <v>10</v>
      </c>
      <c r="F1367">
        <v>48.472000000000001</v>
      </c>
      <c r="G1367">
        <v>-67.434700000000007</v>
      </c>
      <c r="H1367">
        <v>-5</v>
      </c>
      <c r="I1367">
        <v>166</v>
      </c>
      <c r="J1367" t="str">
        <f>HYPERLINK("https://climate.onebuilding.org/WMO_Region_4_North_and_Central_America/CAN_Canada/QC_Quebec/CAN_QC_Amqui.713860_TMYx.2007-2021.zip")</f>
        <v>https://climate.onebuilding.org/WMO_Region_4_North_and_Central_America/CAN_Canada/QC_Quebec/CAN_QC_Amqui.713860_TMYx.2007-2021.zip</v>
      </c>
    </row>
    <row r="1368" spans="1:10" x14ac:dyDescent="0.25">
      <c r="A1368" t="s">
        <v>6</v>
      </c>
      <c r="B1368" t="s">
        <v>14</v>
      </c>
      <c r="C1368" t="s">
        <v>696</v>
      </c>
      <c r="D1368">
        <v>713860</v>
      </c>
      <c r="E1368" t="s">
        <v>10</v>
      </c>
      <c r="F1368">
        <v>48.472000000000001</v>
      </c>
      <c r="G1368">
        <v>-67.434700000000007</v>
      </c>
      <c r="H1368">
        <v>-5</v>
      </c>
      <c r="I1368">
        <v>166</v>
      </c>
      <c r="J1368" t="str">
        <f>HYPERLINK("https://climate.onebuilding.org/WMO_Region_4_North_and_Central_America/CAN_Canada/QC_Quebec/CAN_QC_Amqui.713860_TMYx.2009-2023.zip")</f>
        <v>https://climate.onebuilding.org/WMO_Region_4_North_and_Central_America/CAN_Canada/QC_Quebec/CAN_QC_Amqui.713860_TMYx.2009-2023.zip</v>
      </c>
    </row>
    <row r="1369" spans="1:10" x14ac:dyDescent="0.25">
      <c r="A1369" t="s">
        <v>6</v>
      </c>
      <c r="B1369" t="s">
        <v>14</v>
      </c>
      <c r="C1369" t="s">
        <v>696</v>
      </c>
      <c r="D1369">
        <v>713860</v>
      </c>
      <c r="E1369" t="s">
        <v>10</v>
      </c>
      <c r="F1369">
        <v>48.472000000000001</v>
      </c>
      <c r="G1369">
        <v>-67.434700000000007</v>
      </c>
      <c r="H1369">
        <v>-5</v>
      </c>
      <c r="I1369">
        <v>166</v>
      </c>
      <c r="J1369" t="str">
        <f>HYPERLINK("https://climate.onebuilding.org/WMO_Region_4_North_and_Central_America/CAN_Canada/QC_Quebec/CAN_QC_Amqui.713860_TMYx.zip")</f>
        <v>https://climate.onebuilding.org/WMO_Region_4_North_and_Central_America/CAN_Canada/QC_Quebec/CAN_QC_Amqui.713860_TMYx.zip</v>
      </c>
    </row>
    <row r="1370" spans="1:10" x14ac:dyDescent="0.25">
      <c r="A1370" t="s">
        <v>6</v>
      </c>
      <c r="B1370" t="s">
        <v>14</v>
      </c>
      <c r="C1370" t="s">
        <v>698</v>
      </c>
      <c r="D1370">
        <v>713870</v>
      </c>
      <c r="E1370" t="s">
        <v>699</v>
      </c>
      <c r="F1370">
        <v>48.883000000000003</v>
      </c>
      <c r="G1370">
        <v>-71.016999999999996</v>
      </c>
      <c r="H1370">
        <v>-5</v>
      </c>
      <c r="I1370">
        <v>304</v>
      </c>
      <c r="J1370" t="str">
        <f>HYPERLINK("https://climate.onebuilding.org/WMO_Region_4_North_and_Central_America/CAN_Canada/QC_Quebec/CAN_QC_Onatchiway.713870_TMYx.2004-2018.zip")</f>
        <v>https://climate.onebuilding.org/WMO_Region_4_North_and_Central_America/CAN_Canada/QC_Quebec/CAN_QC_Onatchiway.713870_TMYx.2004-2018.zip</v>
      </c>
    </row>
    <row r="1371" spans="1:10" x14ac:dyDescent="0.25">
      <c r="A1371" t="s">
        <v>6</v>
      </c>
      <c r="B1371" t="s">
        <v>14</v>
      </c>
      <c r="C1371" t="s">
        <v>698</v>
      </c>
      <c r="D1371">
        <v>713870</v>
      </c>
      <c r="E1371" t="s">
        <v>10</v>
      </c>
      <c r="F1371">
        <v>48.894170000000003</v>
      </c>
      <c r="G1371">
        <v>-71.032229999999998</v>
      </c>
      <c r="H1371">
        <v>-5</v>
      </c>
      <c r="I1371">
        <v>304</v>
      </c>
      <c r="J1371" t="str">
        <f>HYPERLINK("https://climate.onebuilding.org/WMO_Region_4_North_and_Central_America/CAN_Canada/QC_Quebec/CAN_QC_Onatchiway.713870_TMYx.2007-2021.zip")</f>
        <v>https://climate.onebuilding.org/WMO_Region_4_North_and_Central_America/CAN_Canada/QC_Quebec/CAN_QC_Onatchiway.713870_TMYx.2007-2021.zip</v>
      </c>
    </row>
    <row r="1372" spans="1:10" x14ac:dyDescent="0.25">
      <c r="A1372" t="s">
        <v>6</v>
      </c>
      <c r="B1372" t="s">
        <v>14</v>
      </c>
      <c r="C1372" t="s">
        <v>698</v>
      </c>
      <c r="D1372">
        <v>713870</v>
      </c>
      <c r="E1372" t="s">
        <v>10</v>
      </c>
      <c r="F1372">
        <v>48.894170000000003</v>
      </c>
      <c r="G1372">
        <v>-71.032229999999998</v>
      </c>
      <c r="H1372">
        <v>-5</v>
      </c>
      <c r="I1372">
        <v>304</v>
      </c>
      <c r="J1372" t="str">
        <f>HYPERLINK("https://climate.onebuilding.org/WMO_Region_4_North_and_Central_America/CAN_Canada/QC_Quebec/CAN_QC_Onatchiway.713870_TMYx.2009-2023.zip")</f>
        <v>https://climate.onebuilding.org/WMO_Region_4_North_and_Central_America/CAN_Canada/QC_Quebec/CAN_QC_Onatchiway.713870_TMYx.2009-2023.zip</v>
      </c>
    </row>
    <row r="1373" spans="1:10" x14ac:dyDescent="0.25">
      <c r="A1373" t="s">
        <v>6</v>
      </c>
      <c r="B1373" t="s">
        <v>14</v>
      </c>
      <c r="C1373" t="s">
        <v>698</v>
      </c>
      <c r="D1373">
        <v>713870</v>
      </c>
      <c r="E1373" t="s">
        <v>10</v>
      </c>
      <c r="F1373">
        <v>48.894170000000003</v>
      </c>
      <c r="G1373">
        <v>-71.032229999999998</v>
      </c>
      <c r="H1373">
        <v>-5</v>
      </c>
      <c r="I1373">
        <v>304</v>
      </c>
      <c r="J1373" t="str">
        <f>HYPERLINK("https://climate.onebuilding.org/WMO_Region_4_North_and_Central_America/CAN_Canada/QC_Quebec/CAN_QC_Onatchiway.713870_TMYx.zip")</f>
        <v>https://climate.onebuilding.org/WMO_Region_4_North_and_Central_America/CAN_Canada/QC_Quebec/CAN_QC_Onatchiway.713870_TMYx.zip</v>
      </c>
    </row>
    <row r="1374" spans="1:10" x14ac:dyDescent="0.25">
      <c r="A1374" t="s">
        <v>6</v>
      </c>
      <c r="B1374" t="s">
        <v>14</v>
      </c>
      <c r="C1374" t="s">
        <v>700</v>
      </c>
      <c r="D1374">
        <v>713880</v>
      </c>
      <c r="E1374" t="s">
        <v>701</v>
      </c>
      <c r="F1374">
        <v>48.298099999999998</v>
      </c>
      <c r="G1374">
        <v>-70.919399999999996</v>
      </c>
      <c r="H1374">
        <v>-5</v>
      </c>
      <c r="I1374">
        <v>151.6</v>
      </c>
      <c r="J1374" t="str">
        <f>HYPERLINK("https://climate.onebuilding.org/WMO_Region_4_North_and_Central_America/CAN_Canada/QC_Quebec/CAN_QC_La.Baie.713880_TMYx.2004-2018.zip")</f>
        <v>https://climate.onebuilding.org/WMO_Region_4_North_and_Central_America/CAN_Canada/QC_Quebec/CAN_QC_La.Baie.713880_TMYx.2004-2018.zip</v>
      </c>
    </row>
    <row r="1375" spans="1:10" x14ac:dyDescent="0.25">
      <c r="A1375" t="s">
        <v>6</v>
      </c>
      <c r="B1375" t="s">
        <v>14</v>
      </c>
      <c r="C1375" t="s">
        <v>700</v>
      </c>
      <c r="D1375">
        <v>713880</v>
      </c>
      <c r="E1375" t="s">
        <v>10</v>
      </c>
      <c r="F1375">
        <v>48.298099999999998</v>
      </c>
      <c r="G1375">
        <v>-70.919399999999996</v>
      </c>
      <c r="H1375">
        <v>-5</v>
      </c>
      <c r="I1375">
        <v>151.6</v>
      </c>
      <c r="J1375" t="str">
        <f>HYPERLINK("https://climate.onebuilding.org/WMO_Region_4_North_and_Central_America/CAN_Canada/QC_Quebec/CAN_QC_La.Baie.713880_TMYx.2007-2021.zip")</f>
        <v>https://climate.onebuilding.org/WMO_Region_4_North_and_Central_America/CAN_Canada/QC_Quebec/CAN_QC_La.Baie.713880_TMYx.2007-2021.zip</v>
      </c>
    </row>
    <row r="1376" spans="1:10" x14ac:dyDescent="0.25">
      <c r="A1376" t="s">
        <v>6</v>
      </c>
      <c r="B1376" t="s">
        <v>14</v>
      </c>
      <c r="C1376" t="s">
        <v>700</v>
      </c>
      <c r="D1376">
        <v>713880</v>
      </c>
      <c r="E1376" t="s">
        <v>10</v>
      </c>
      <c r="F1376">
        <v>48.298099999999998</v>
      </c>
      <c r="G1376">
        <v>-70.919399999999996</v>
      </c>
      <c r="H1376">
        <v>-5</v>
      </c>
      <c r="I1376">
        <v>151.6</v>
      </c>
      <c r="J1376" t="str">
        <f>HYPERLINK("https://climate.onebuilding.org/WMO_Region_4_North_and_Central_America/CAN_Canada/QC_Quebec/CAN_QC_La.Baie.713880_TMYx.2009-2023.zip")</f>
        <v>https://climate.onebuilding.org/WMO_Region_4_North_and_Central_America/CAN_Canada/QC_Quebec/CAN_QC_La.Baie.713880_TMYx.2009-2023.zip</v>
      </c>
    </row>
    <row r="1377" spans="1:10" x14ac:dyDescent="0.25">
      <c r="A1377" t="s">
        <v>6</v>
      </c>
      <c r="B1377" t="s">
        <v>14</v>
      </c>
      <c r="C1377" t="s">
        <v>700</v>
      </c>
      <c r="D1377">
        <v>713880</v>
      </c>
      <c r="E1377" t="s">
        <v>10</v>
      </c>
      <c r="F1377">
        <v>48.298099999999998</v>
      </c>
      <c r="G1377">
        <v>-70.919399999999996</v>
      </c>
      <c r="H1377">
        <v>-5</v>
      </c>
      <c r="I1377">
        <v>151.6</v>
      </c>
      <c r="J1377" t="str">
        <f>HYPERLINK("https://climate.onebuilding.org/WMO_Region_4_North_and_Central_America/CAN_Canada/QC_Quebec/CAN_QC_La.Baie.713880_TMYx.zip")</f>
        <v>https://climate.onebuilding.org/WMO_Region_4_North_and_Central_America/CAN_Canada/QC_Quebec/CAN_QC_La.Baie.713880_TMYx.zip</v>
      </c>
    </row>
    <row r="1378" spans="1:10" x14ac:dyDescent="0.25">
      <c r="A1378" t="s">
        <v>6</v>
      </c>
      <c r="B1378" t="s">
        <v>14</v>
      </c>
      <c r="C1378" t="s">
        <v>702</v>
      </c>
      <c r="D1378">
        <v>713890</v>
      </c>
      <c r="E1378" t="s">
        <v>703</v>
      </c>
      <c r="F1378">
        <v>46.690800000000003</v>
      </c>
      <c r="G1378">
        <v>-71.971699999999998</v>
      </c>
      <c r="H1378">
        <v>-5</v>
      </c>
      <c r="I1378">
        <v>61</v>
      </c>
      <c r="J1378" t="str">
        <f>HYPERLINK("https://climate.onebuilding.org/WMO_Region_4_North_and_Central_America/CAN_Canada/QC_Quebec/CAN_QC_Deschambault.713890_TMYx.2004-2018.zip")</f>
        <v>https://climate.onebuilding.org/WMO_Region_4_North_and_Central_America/CAN_Canada/QC_Quebec/CAN_QC_Deschambault.713890_TMYx.2004-2018.zip</v>
      </c>
    </row>
    <row r="1379" spans="1:10" x14ac:dyDescent="0.25">
      <c r="A1379" t="s">
        <v>6</v>
      </c>
      <c r="B1379" t="s">
        <v>14</v>
      </c>
      <c r="C1379" t="s">
        <v>702</v>
      </c>
      <c r="D1379">
        <v>713890</v>
      </c>
      <c r="E1379" t="s">
        <v>10</v>
      </c>
      <c r="F1379">
        <v>46.690600000000003</v>
      </c>
      <c r="G1379">
        <v>-71.971699999999998</v>
      </c>
      <c r="H1379">
        <v>-5</v>
      </c>
      <c r="I1379">
        <v>61</v>
      </c>
      <c r="J1379" t="str">
        <f>HYPERLINK("https://climate.onebuilding.org/WMO_Region_4_North_and_Central_America/CAN_Canada/QC_Quebec/CAN_QC_Deschambault.713890_TMYx.2007-2021.zip")</f>
        <v>https://climate.onebuilding.org/WMO_Region_4_North_and_Central_America/CAN_Canada/QC_Quebec/CAN_QC_Deschambault.713890_TMYx.2007-2021.zip</v>
      </c>
    </row>
    <row r="1380" spans="1:10" x14ac:dyDescent="0.25">
      <c r="A1380" t="s">
        <v>6</v>
      </c>
      <c r="B1380" t="s">
        <v>14</v>
      </c>
      <c r="C1380" t="s">
        <v>702</v>
      </c>
      <c r="D1380">
        <v>713890</v>
      </c>
      <c r="E1380" t="s">
        <v>10</v>
      </c>
      <c r="F1380">
        <v>46.690600000000003</v>
      </c>
      <c r="G1380">
        <v>-71.971699999999998</v>
      </c>
      <c r="H1380">
        <v>-5</v>
      </c>
      <c r="I1380">
        <v>61</v>
      </c>
      <c r="J1380" t="str">
        <f>HYPERLINK("https://climate.onebuilding.org/WMO_Region_4_North_and_Central_America/CAN_Canada/QC_Quebec/CAN_QC_Deschambault.713890_TMYx.2009-2023.zip")</f>
        <v>https://climate.onebuilding.org/WMO_Region_4_North_and_Central_America/CAN_Canada/QC_Quebec/CAN_QC_Deschambault.713890_TMYx.2009-2023.zip</v>
      </c>
    </row>
    <row r="1381" spans="1:10" x14ac:dyDescent="0.25">
      <c r="A1381" t="s">
        <v>6</v>
      </c>
      <c r="B1381" t="s">
        <v>14</v>
      </c>
      <c r="C1381" t="s">
        <v>702</v>
      </c>
      <c r="D1381">
        <v>713890</v>
      </c>
      <c r="E1381" t="s">
        <v>10</v>
      </c>
      <c r="F1381">
        <v>46.690600000000003</v>
      </c>
      <c r="G1381">
        <v>-71.971699999999998</v>
      </c>
      <c r="H1381">
        <v>-5</v>
      </c>
      <c r="I1381">
        <v>61</v>
      </c>
      <c r="J1381" t="str">
        <f>HYPERLINK("https://climate.onebuilding.org/WMO_Region_4_North_and_Central_America/CAN_Canada/QC_Quebec/CAN_QC_Deschambault.713890_TMYx.zip")</f>
        <v>https://climate.onebuilding.org/WMO_Region_4_North_and_Central_America/CAN_Canada/QC_Quebec/CAN_QC_Deschambault.713890_TMYx.zip</v>
      </c>
    </row>
    <row r="1382" spans="1:10" x14ac:dyDescent="0.25">
      <c r="A1382" t="s">
        <v>6</v>
      </c>
      <c r="B1382" t="s">
        <v>14</v>
      </c>
      <c r="C1382" t="s">
        <v>704</v>
      </c>
      <c r="D1382">
        <v>713900</v>
      </c>
      <c r="E1382" t="s">
        <v>705</v>
      </c>
      <c r="F1382">
        <v>50.15</v>
      </c>
      <c r="G1382">
        <v>-66.433000000000007</v>
      </c>
      <c r="H1382">
        <v>-5</v>
      </c>
      <c r="I1382">
        <v>24</v>
      </c>
      <c r="J1382" t="str">
        <f>HYPERLINK("https://climate.onebuilding.org/WMO_Region_4_North_and_Central_America/CAN_Canada/QC_Quebec/CAN_QC_Pointe.Noire.CS.713900_TMYx.2004-2018.zip")</f>
        <v>https://climate.onebuilding.org/WMO_Region_4_North_and_Central_America/CAN_Canada/QC_Quebec/CAN_QC_Pointe.Noire.CS.713900_TMYx.2004-2018.zip</v>
      </c>
    </row>
    <row r="1383" spans="1:10" x14ac:dyDescent="0.25">
      <c r="A1383" t="s">
        <v>6</v>
      </c>
      <c r="B1383" t="s">
        <v>14</v>
      </c>
      <c r="C1383" t="s">
        <v>704</v>
      </c>
      <c r="D1383">
        <v>713900</v>
      </c>
      <c r="E1383" t="s">
        <v>10</v>
      </c>
      <c r="F1383">
        <v>50.151000000000003</v>
      </c>
      <c r="G1383">
        <v>-66.424999999999997</v>
      </c>
      <c r="H1383">
        <v>-5</v>
      </c>
      <c r="I1383">
        <v>24</v>
      </c>
      <c r="J1383" t="str">
        <f>HYPERLINK("https://climate.onebuilding.org/WMO_Region_4_North_and_Central_America/CAN_Canada/QC_Quebec/CAN_QC_Pointe.Noire.CS.713900_TMYx.2007-2021.zip")</f>
        <v>https://climate.onebuilding.org/WMO_Region_4_North_and_Central_America/CAN_Canada/QC_Quebec/CAN_QC_Pointe.Noire.CS.713900_TMYx.2007-2021.zip</v>
      </c>
    </row>
    <row r="1384" spans="1:10" x14ac:dyDescent="0.25">
      <c r="A1384" t="s">
        <v>6</v>
      </c>
      <c r="B1384" t="s">
        <v>14</v>
      </c>
      <c r="C1384" t="s">
        <v>704</v>
      </c>
      <c r="D1384">
        <v>713900</v>
      </c>
      <c r="E1384" t="s">
        <v>10</v>
      </c>
      <c r="F1384">
        <v>50.151000000000003</v>
      </c>
      <c r="G1384">
        <v>-66.424999999999997</v>
      </c>
      <c r="H1384">
        <v>-5</v>
      </c>
      <c r="I1384">
        <v>24</v>
      </c>
      <c r="J1384" t="str">
        <f>HYPERLINK("https://climate.onebuilding.org/WMO_Region_4_North_and_Central_America/CAN_Canada/QC_Quebec/CAN_QC_Pointe.Noire.CS.713900_TMYx.2009-2023.zip")</f>
        <v>https://climate.onebuilding.org/WMO_Region_4_North_and_Central_America/CAN_Canada/QC_Quebec/CAN_QC_Pointe.Noire.CS.713900_TMYx.2009-2023.zip</v>
      </c>
    </row>
    <row r="1385" spans="1:10" x14ac:dyDescent="0.25">
      <c r="A1385" t="s">
        <v>6</v>
      </c>
      <c r="B1385" t="s">
        <v>14</v>
      </c>
      <c r="C1385" t="s">
        <v>704</v>
      </c>
      <c r="D1385">
        <v>713900</v>
      </c>
      <c r="E1385" t="s">
        <v>10</v>
      </c>
      <c r="F1385">
        <v>50.151000000000003</v>
      </c>
      <c r="G1385">
        <v>-66.424999999999997</v>
      </c>
      <c r="H1385">
        <v>-5</v>
      </c>
      <c r="I1385">
        <v>24</v>
      </c>
      <c r="J1385" t="str">
        <f>HYPERLINK("https://climate.onebuilding.org/WMO_Region_4_North_and_Central_America/CAN_Canada/QC_Quebec/CAN_QC_Pointe.Noire.CS.713900_TMYx.zip")</f>
        <v>https://climate.onebuilding.org/WMO_Region_4_North_and_Central_America/CAN_Canada/QC_Quebec/CAN_QC_Pointe.Noire.CS.713900_TMYx.zip</v>
      </c>
    </row>
    <row r="1386" spans="1:10" x14ac:dyDescent="0.25">
      <c r="A1386" t="s">
        <v>6</v>
      </c>
      <c r="B1386" t="s">
        <v>14</v>
      </c>
      <c r="C1386" t="s">
        <v>706</v>
      </c>
      <c r="D1386">
        <v>713910</v>
      </c>
      <c r="E1386" t="s">
        <v>707</v>
      </c>
      <c r="F1386">
        <v>45.83972</v>
      </c>
      <c r="G1386">
        <v>-75.648610000000005</v>
      </c>
      <c r="H1386">
        <v>-5</v>
      </c>
      <c r="I1386">
        <v>195</v>
      </c>
      <c r="J1386" t="str">
        <f>HYPERLINK("https://climate.onebuilding.org/WMO_Region_4_North_and_Central_America/CAN_Canada/QC_Quebec/CAN_QC_Les.Grandes.Chutes-High.Falls.713910_TMYx.2004-2018.zip")</f>
        <v>https://climate.onebuilding.org/WMO_Region_4_North_and_Central_America/CAN_Canada/QC_Quebec/CAN_QC_Les.Grandes.Chutes-High.Falls.713910_TMYx.2004-2018.zip</v>
      </c>
    </row>
    <row r="1387" spans="1:10" x14ac:dyDescent="0.25">
      <c r="A1387" t="s">
        <v>6</v>
      </c>
      <c r="B1387" t="s">
        <v>14</v>
      </c>
      <c r="C1387" t="s">
        <v>706</v>
      </c>
      <c r="D1387">
        <v>713910</v>
      </c>
      <c r="E1387" t="s">
        <v>10</v>
      </c>
      <c r="F1387">
        <v>45.83972</v>
      </c>
      <c r="G1387">
        <v>-75.648610000000005</v>
      </c>
      <c r="H1387">
        <v>-5</v>
      </c>
      <c r="I1387">
        <v>195</v>
      </c>
      <c r="J1387" t="str">
        <f>HYPERLINK("https://climate.onebuilding.org/WMO_Region_4_North_and_Central_America/CAN_Canada/QC_Quebec/CAN_QC_Les.Grandes.Chutes-High.Falls.713910_TMYx.2007-2021.zip")</f>
        <v>https://climate.onebuilding.org/WMO_Region_4_North_and_Central_America/CAN_Canada/QC_Quebec/CAN_QC_Les.Grandes.Chutes-High.Falls.713910_TMYx.2007-2021.zip</v>
      </c>
    </row>
    <row r="1388" spans="1:10" x14ac:dyDescent="0.25">
      <c r="A1388" t="s">
        <v>6</v>
      </c>
      <c r="B1388" t="s">
        <v>14</v>
      </c>
      <c r="C1388" t="s">
        <v>706</v>
      </c>
      <c r="D1388">
        <v>713910</v>
      </c>
      <c r="E1388" t="s">
        <v>10</v>
      </c>
      <c r="F1388">
        <v>45.83972</v>
      </c>
      <c r="G1388">
        <v>-75.648610000000005</v>
      </c>
      <c r="H1388">
        <v>-5</v>
      </c>
      <c r="I1388">
        <v>195</v>
      </c>
      <c r="J1388" t="str">
        <f>HYPERLINK("https://climate.onebuilding.org/WMO_Region_4_North_and_Central_America/CAN_Canada/QC_Quebec/CAN_QC_Les.Grandes.Chutes-High.Falls.713910_TMYx.2009-2023.zip")</f>
        <v>https://climate.onebuilding.org/WMO_Region_4_North_and_Central_America/CAN_Canada/QC_Quebec/CAN_QC_Les.Grandes.Chutes-High.Falls.713910_TMYx.2009-2023.zip</v>
      </c>
    </row>
    <row r="1389" spans="1:10" x14ac:dyDescent="0.25">
      <c r="A1389" t="s">
        <v>6</v>
      </c>
      <c r="B1389" t="s">
        <v>14</v>
      </c>
      <c r="C1389" t="s">
        <v>706</v>
      </c>
      <c r="D1389">
        <v>713910</v>
      </c>
      <c r="E1389" t="s">
        <v>10</v>
      </c>
      <c r="F1389">
        <v>45.83972</v>
      </c>
      <c r="G1389">
        <v>-75.648610000000005</v>
      </c>
      <c r="H1389">
        <v>-5</v>
      </c>
      <c r="I1389">
        <v>195</v>
      </c>
      <c r="J1389" t="str">
        <f>HYPERLINK("https://climate.onebuilding.org/WMO_Region_4_North_and_Central_America/CAN_Canada/QC_Quebec/CAN_QC_Les.Grandes.Chutes-High.Falls.713910_TMYx.zip")</f>
        <v>https://climate.onebuilding.org/WMO_Region_4_North_and_Central_America/CAN_Canada/QC_Quebec/CAN_QC_Les.Grandes.Chutes-High.Falls.713910_TMYx.zip</v>
      </c>
    </row>
    <row r="1390" spans="1:10" x14ac:dyDescent="0.25">
      <c r="A1390" t="s">
        <v>6</v>
      </c>
      <c r="B1390" t="s">
        <v>14</v>
      </c>
      <c r="C1390" t="s">
        <v>708</v>
      </c>
      <c r="D1390">
        <v>713920</v>
      </c>
      <c r="E1390" t="s">
        <v>709</v>
      </c>
      <c r="F1390">
        <v>46.780299999999997</v>
      </c>
      <c r="G1390">
        <v>-71.287499999999994</v>
      </c>
      <c r="H1390">
        <v>-5</v>
      </c>
      <c r="I1390">
        <v>91.4</v>
      </c>
      <c r="J1390" t="str">
        <f>HYPERLINK("https://climate.onebuilding.org/WMO_Region_4_North_and_Central_America/CAN_Canada/QC_Quebec/CAN_QC_Quebec.City-Ste.Foy-Univ.Laval.713920_TMYx.2004-2018.zip")</f>
        <v>https://climate.onebuilding.org/WMO_Region_4_North_and_Central_America/CAN_Canada/QC_Quebec/CAN_QC_Quebec.City-Ste.Foy-Univ.Laval.713920_TMYx.2004-2018.zip</v>
      </c>
    </row>
    <row r="1391" spans="1:10" x14ac:dyDescent="0.25">
      <c r="A1391" t="s">
        <v>6</v>
      </c>
      <c r="B1391" t="s">
        <v>14</v>
      </c>
      <c r="C1391" t="s">
        <v>708</v>
      </c>
      <c r="D1391">
        <v>713920</v>
      </c>
      <c r="E1391" t="s">
        <v>10</v>
      </c>
      <c r="F1391">
        <v>46.780299999999997</v>
      </c>
      <c r="G1391">
        <v>-71.287499999999994</v>
      </c>
      <c r="H1391">
        <v>-5</v>
      </c>
      <c r="I1391">
        <v>91.4</v>
      </c>
      <c r="J1391" t="str">
        <f>HYPERLINK("https://climate.onebuilding.org/WMO_Region_4_North_and_Central_America/CAN_Canada/QC_Quebec/CAN_QC_Quebec.City-Ste.Foy-Univ.Laval.713920_TMYx.2007-2021.zip")</f>
        <v>https://climate.onebuilding.org/WMO_Region_4_North_and_Central_America/CAN_Canada/QC_Quebec/CAN_QC_Quebec.City-Ste.Foy-Univ.Laval.713920_TMYx.2007-2021.zip</v>
      </c>
    </row>
    <row r="1392" spans="1:10" x14ac:dyDescent="0.25">
      <c r="A1392" t="s">
        <v>6</v>
      </c>
      <c r="B1392" t="s">
        <v>14</v>
      </c>
      <c r="C1392" t="s">
        <v>708</v>
      </c>
      <c r="D1392">
        <v>713920</v>
      </c>
      <c r="E1392" t="s">
        <v>10</v>
      </c>
      <c r="F1392">
        <v>46.780299999999997</v>
      </c>
      <c r="G1392">
        <v>-71.287499999999994</v>
      </c>
      <c r="H1392">
        <v>-5</v>
      </c>
      <c r="I1392">
        <v>91.4</v>
      </c>
      <c r="J1392" t="str">
        <f>HYPERLINK("https://climate.onebuilding.org/WMO_Region_4_North_and_Central_America/CAN_Canada/QC_Quebec/CAN_QC_Quebec.City-Ste.Foy-Univ.Laval.713920_TMYx.2009-2023.zip")</f>
        <v>https://climate.onebuilding.org/WMO_Region_4_North_and_Central_America/CAN_Canada/QC_Quebec/CAN_QC_Quebec.City-Ste.Foy-Univ.Laval.713920_TMYx.2009-2023.zip</v>
      </c>
    </row>
    <row r="1393" spans="1:10" x14ac:dyDescent="0.25">
      <c r="A1393" t="s">
        <v>6</v>
      </c>
      <c r="B1393" t="s">
        <v>14</v>
      </c>
      <c r="C1393" t="s">
        <v>708</v>
      </c>
      <c r="D1393">
        <v>713920</v>
      </c>
      <c r="E1393" t="s">
        <v>10</v>
      </c>
      <c r="F1393">
        <v>46.780299999999997</v>
      </c>
      <c r="G1393">
        <v>-71.287499999999994</v>
      </c>
      <c r="H1393">
        <v>-5</v>
      </c>
      <c r="I1393">
        <v>91.4</v>
      </c>
      <c r="J1393" t="str">
        <f>HYPERLINK("https://climate.onebuilding.org/WMO_Region_4_North_and_Central_America/CAN_Canada/QC_Quebec/CAN_QC_Quebec.City-Ste.Foy-Univ.Laval.713920_TMYx.zip")</f>
        <v>https://climate.onebuilding.org/WMO_Region_4_North_and_Central_America/CAN_Canada/QC_Quebec/CAN_QC_Quebec.City-Ste.Foy-Univ.Laval.713920_TMYx.zip</v>
      </c>
    </row>
    <row r="1394" spans="1:10" x14ac:dyDescent="0.25">
      <c r="A1394" t="s">
        <v>6</v>
      </c>
      <c r="B1394" t="s">
        <v>68</v>
      </c>
      <c r="C1394" t="s">
        <v>710</v>
      </c>
      <c r="D1394">
        <v>713950</v>
      </c>
      <c r="E1394" t="s">
        <v>711</v>
      </c>
      <c r="F1394">
        <v>44.88</v>
      </c>
      <c r="G1394">
        <v>-63.5</v>
      </c>
      <c r="H1394">
        <v>-4</v>
      </c>
      <c r="I1394">
        <v>145.4</v>
      </c>
      <c r="J1394" t="str">
        <f>HYPERLINK("https://climate.onebuilding.org/WMO_Region_4_North_and_Central_America/CAN_Canada/NS_Nova_Scotia/CAN_NS_Halifax-Stanfield.Intl.AP.713950_TMYx.2004-2018.zip")</f>
        <v>https://climate.onebuilding.org/WMO_Region_4_North_and_Central_America/CAN_Canada/NS_Nova_Scotia/CAN_NS_Halifax-Stanfield.Intl.AP.713950_TMYx.2004-2018.zip</v>
      </c>
    </row>
    <row r="1395" spans="1:10" x14ac:dyDescent="0.25">
      <c r="A1395" t="s">
        <v>6</v>
      </c>
      <c r="B1395" t="s">
        <v>68</v>
      </c>
      <c r="C1395" t="s">
        <v>710</v>
      </c>
      <c r="D1395">
        <v>713950</v>
      </c>
      <c r="E1395" t="s">
        <v>10</v>
      </c>
      <c r="F1395">
        <v>44.88</v>
      </c>
      <c r="G1395">
        <v>-63.5</v>
      </c>
      <c r="H1395">
        <v>-4</v>
      </c>
      <c r="I1395">
        <v>145.4</v>
      </c>
      <c r="J1395" t="str">
        <f>HYPERLINK("https://climate.onebuilding.org/WMO_Region_4_North_and_Central_America/CAN_Canada/NS_Nova_Scotia/CAN_NS_Halifax-Stanfield.Intl.AP.713950_TMYx.2007-2021.zip")</f>
        <v>https://climate.onebuilding.org/WMO_Region_4_North_and_Central_America/CAN_Canada/NS_Nova_Scotia/CAN_NS_Halifax-Stanfield.Intl.AP.713950_TMYx.2007-2021.zip</v>
      </c>
    </row>
    <row r="1396" spans="1:10" x14ac:dyDescent="0.25">
      <c r="A1396" t="s">
        <v>6</v>
      </c>
      <c r="B1396" t="s">
        <v>68</v>
      </c>
      <c r="C1396" t="s">
        <v>710</v>
      </c>
      <c r="D1396">
        <v>713950</v>
      </c>
      <c r="E1396" t="s">
        <v>10</v>
      </c>
      <c r="F1396">
        <v>44.88</v>
      </c>
      <c r="G1396">
        <v>-63.5</v>
      </c>
      <c r="H1396">
        <v>-4</v>
      </c>
      <c r="I1396">
        <v>145.4</v>
      </c>
      <c r="J1396" t="str">
        <f>HYPERLINK("https://climate.onebuilding.org/WMO_Region_4_North_and_Central_America/CAN_Canada/NS_Nova_Scotia/CAN_NS_Halifax-Stanfield.Intl.AP.713950_TMYx.2009-2023.zip")</f>
        <v>https://climate.onebuilding.org/WMO_Region_4_North_and_Central_America/CAN_Canada/NS_Nova_Scotia/CAN_NS_Halifax-Stanfield.Intl.AP.713950_TMYx.2009-2023.zip</v>
      </c>
    </row>
    <row r="1397" spans="1:10" x14ac:dyDescent="0.25">
      <c r="A1397" t="s">
        <v>6</v>
      </c>
      <c r="B1397" t="s">
        <v>68</v>
      </c>
      <c r="C1397" t="s">
        <v>710</v>
      </c>
      <c r="D1397">
        <v>713950</v>
      </c>
      <c r="E1397" t="s">
        <v>10</v>
      </c>
      <c r="F1397">
        <v>44.88</v>
      </c>
      <c r="G1397">
        <v>-63.5</v>
      </c>
      <c r="H1397">
        <v>-4</v>
      </c>
      <c r="I1397">
        <v>145.4</v>
      </c>
      <c r="J1397" t="str">
        <f>HYPERLINK("https://climate.onebuilding.org/WMO_Region_4_North_and_Central_America/CAN_Canada/NS_Nova_Scotia/CAN_NS_Halifax-Stanfield.Intl.AP.713950_TMYx.zip")</f>
        <v>https://climate.onebuilding.org/WMO_Region_4_North_and_Central_America/CAN_Canada/NS_Nova_Scotia/CAN_NS_Halifax-Stanfield.Intl.AP.713950_TMYx.zip</v>
      </c>
    </row>
    <row r="1398" spans="1:10" x14ac:dyDescent="0.25">
      <c r="A1398" t="s">
        <v>6</v>
      </c>
      <c r="B1398" t="s">
        <v>68</v>
      </c>
      <c r="C1398" t="s">
        <v>712</v>
      </c>
      <c r="D1398">
        <v>713970</v>
      </c>
      <c r="E1398" t="s">
        <v>713</v>
      </c>
      <c r="F1398">
        <v>44.9833</v>
      </c>
      <c r="G1398">
        <v>-64.916700000000006</v>
      </c>
      <c r="H1398">
        <v>-4</v>
      </c>
      <c r="I1398">
        <v>28</v>
      </c>
      <c r="J1398" t="str">
        <f>HYPERLINK("https://climate.onebuilding.org/WMO_Region_4_North_and_Central_America/CAN_Canada/NS_Nova_Scotia/CAN_NS_CFB.Greenwood.713970_TMYx.2004-2018.zip")</f>
        <v>https://climate.onebuilding.org/WMO_Region_4_North_and_Central_America/CAN_Canada/NS_Nova_Scotia/CAN_NS_CFB.Greenwood.713970_TMYx.2004-2018.zip</v>
      </c>
    </row>
    <row r="1399" spans="1:10" x14ac:dyDescent="0.25">
      <c r="A1399" t="s">
        <v>6</v>
      </c>
      <c r="B1399" t="s">
        <v>68</v>
      </c>
      <c r="C1399" t="s">
        <v>712</v>
      </c>
      <c r="D1399">
        <v>713970</v>
      </c>
      <c r="E1399" t="s">
        <v>10</v>
      </c>
      <c r="F1399">
        <v>44.9833</v>
      </c>
      <c r="G1399">
        <v>-64.916700000000006</v>
      </c>
      <c r="H1399">
        <v>-4</v>
      </c>
      <c r="I1399">
        <v>28</v>
      </c>
      <c r="J1399" t="str">
        <f>HYPERLINK("https://climate.onebuilding.org/WMO_Region_4_North_and_Central_America/CAN_Canada/NS_Nova_Scotia/CAN_NS_CFB.Greenwood.713970_TMYx.2007-2021.zip")</f>
        <v>https://climate.onebuilding.org/WMO_Region_4_North_and_Central_America/CAN_Canada/NS_Nova_Scotia/CAN_NS_CFB.Greenwood.713970_TMYx.2007-2021.zip</v>
      </c>
    </row>
    <row r="1400" spans="1:10" x14ac:dyDescent="0.25">
      <c r="A1400" t="s">
        <v>6</v>
      </c>
      <c r="B1400" t="s">
        <v>68</v>
      </c>
      <c r="C1400" t="s">
        <v>712</v>
      </c>
      <c r="D1400">
        <v>713970</v>
      </c>
      <c r="E1400" t="s">
        <v>10</v>
      </c>
      <c r="F1400">
        <v>44.9833</v>
      </c>
      <c r="G1400">
        <v>-64.916700000000006</v>
      </c>
      <c r="H1400">
        <v>-4</v>
      </c>
      <c r="I1400">
        <v>28</v>
      </c>
      <c r="J1400" t="str">
        <f>HYPERLINK("https://climate.onebuilding.org/WMO_Region_4_North_and_Central_America/CAN_Canada/NS_Nova_Scotia/CAN_NS_CFB.Greenwood.713970_TMYx.2009-2023.zip")</f>
        <v>https://climate.onebuilding.org/WMO_Region_4_North_and_Central_America/CAN_Canada/NS_Nova_Scotia/CAN_NS_CFB.Greenwood.713970_TMYx.2009-2023.zip</v>
      </c>
    </row>
    <row r="1401" spans="1:10" x14ac:dyDescent="0.25">
      <c r="A1401" t="s">
        <v>6</v>
      </c>
      <c r="B1401" t="s">
        <v>68</v>
      </c>
      <c r="C1401" t="s">
        <v>712</v>
      </c>
      <c r="D1401">
        <v>713970</v>
      </c>
      <c r="E1401" t="s">
        <v>10</v>
      </c>
      <c r="F1401">
        <v>44.9833</v>
      </c>
      <c r="G1401">
        <v>-64.916700000000006</v>
      </c>
      <c r="H1401">
        <v>-4</v>
      </c>
      <c r="I1401">
        <v>28</v>
      </c>
      <c r="J1401" t="str">
        <f>HYPERLINK("https://climate.onebuilding.org/WMO_Region_4_North_and_Central_America/CAN_Canada/NS_Nova_Scotia/CAN_NS_CFB.Greenwood.713970_TMYx.zip")</f>
        <v>https://climate.onebuilding.org/WMO_Region_4_North_and_Central_America/CAN_Canada/NS_Nova_Scotia/CAN_NS_CFB.Greenwood.713970_TMYx.zip</v>
      </c>
    </row>
    <row r="1402" spans="1:10" x14ac:dyDescent="0.25">
      <c r="A1402" t="s">
        <v>6</v>
      </c>
      <c r="B1402" t="s">
        <v>130</v>
      </c>
      <c r="C1402" t="s">
        <v>714</v>
      </c>
      <c r="D1402">
        <v>713980</v>
      </c>
      <c r="E1402" t="s">
        <v>715</v>
      </c>
      <c r="F1402">
        <v>51.2911</v>
      </c>
      <c r="G1402">
        <v>-80.607799999999997</v>
      </c>
      <c r="H1402">
        <v>-5</v>
      </c>
      <c r="I1402">
        <v>9.1</v>
      </c>
      <c r="J1402" t="str">
        <f>HYPERLINK("https://climate.onebuilding.org/WMO_Region_4_North_and_Central_America/CAN_Canada/ON_Ontario/CAN_ON_Moosonee.AP.713980_TMYx.2004-2018.zip")</f>
        <v>https://climate.onebuilding.org/WMO_Region_4_North_and_Central_America/CAN_Canada/ON_Ontario/CAN_ON_Moosonee.AP.713980_TMYx.2004-2018.zip</v>
      </c>
    </row>
    <row r="1403" spans="1:10" x14ac:dyDescent="0.25">
      <c r="A1403" t="s">
        <v>6</v>
      </c>
      <c r="B1403" t="s">
        <v>130</v>
      </c>
      <c r="C1403" t="s">
        <v>714</v>
      </c>
      <c r="D1403">
        <v>713980</v>
      </c>
      <c r="E1403" t="s">
        <v>10</v>
      </c>
      <c r="F1403">
        <v>51.291110000000003</v>
      </c>
      <c r="G1403">
        <v>-80.607799999999997</v>
      </c>
      <c r="H1403">
        <v>-5</v>
      </c>
      <c r="I1403">
        <v>9.1</v>
      </c>
      <c r="J1403" t="str">
        <f>HYPERLINK("https://climate.onebuilding.org/WMO_Region_4_North_and_Central_America/CAN_Canada/ON_Ontario/CAN_ON_Moosonee.AP.713980_TMYx.2007-2021.zip")</f>
        <v>https://climate.onebuilding.org/WMO_Region_4_North_and_Central_America/CAN_Canada/ON_Ontario/CAN_ON_Moosonee.AP.713980_TMYx.2007-2021.zip</v>
      </c>
    </row>
    <row r="1404" spans="1:10" x14ac:dyDescent="0.25">
      <c r="A1404" t="s">
        <v>6</v>
      </c>
      <c r="B1404" t="s">
        <v>130</v>
      </c>
      <c r="C1404" t="s">
        <v>714</v>
      </c>
      <c r="D1404">
        <v>713980</v>
      </c>
      <c r="E1404" t="s">
        <v>10</v>
      </c>
      <c r="F1404">
        <v>51.291110000000003</v>
      </c>
      <c r="G1404">
        <v>-80.607799999999997</v>
      </c>
      <c r="H1404">
        <v>-5</v>
      </c>
      <c r="I1404">
        <v>9.1</v>
      </c>
      <c r="J1404" t="str">
        <f>HYPERLINK("https://climate.onebuilding.org/WMO_Region_4_North_and_Central_America/CAN_Canada/ON_Ontario/CAN_ON_Moosonee.AP.713980_TMYx.2009-2023.zip")</f>
        <v>https://climate.onebuilding.org/WMO_Region_4_North_and_Central_America/CAN_Canada/ON_Ontario/CAN_ON_Moosonee.AP.713980_TMYx.2009-2023.zip</v>
      </c>
    </row>
    <row r="1405" spans="1:10" x14ac:dyDescent="0.25">
      <c r="A1405" t="s">
        <v>6</v>
      </c>
      <c r="B1405" t="s">
        <v>130</v>
      </c>
      <c r="C1405" t="s">
        <v>714</v>
      </c>
      <c r="D1405">
        <v>713980</v>
      </c>
      <c r="E1405" t="s">
        <v>10</v>
      </c>
      <c r="F1405">
        <v>51.291110000000003</v>
      </c>
      <c r="G1405">
        <v>-80.607799999999997</v>
      </c>
      <c r="H1405">
        <v>-5</v>
      </c>
      <c r="I1405">
        <v>9.1</v>
      </c>
      <c r="J1405" t="str">
        <f>HYPERLINK("https://climate.onebuilding.org/WMO_Region_4_North_and_Central_America/CAN_Canada/ON_Ontario/CAN_ON_Moosonee.AP.713980_TMYx.zip")</f>
        <v>https://climate.onebuilding.org/WMO_Region_4_North_and_Central_America/CAN_Canada/ON_Ontario/CAN_ON_Moosonee.AP.713980_TMYx.zip</v>
      </c>
    </row>
    <row r="1406" spans="1:10" x14ac:dyDescent="0.25">
      <c r="A1406" t="s">
        <v>6</v>
      </c>
      <c r="B1406" t="s">
        <v>14</v>
      </c>
      <c r="C1406" t="s">
        <v>716</v>
      </c>
      <c r="D1406">
        <v>713985</v>
      </c>
      <c r="E1406" t="s">
        <v>10</v>
      </c>
      <c r="F1406">
        <v>45.616999999999997</v>
      </c>
      <c r="G1406">
        <v>-74.417000000000002</v>
      </c>
      <c r="H1406">
        <v>-5</v>
      </c>
      <c r="I1406">
        <v>75</v>
      </c>
      <c r="J1406" t="str">
        <f>HYPERLINK("https://climate.onebuilding.org/WMO_Region_4_North_and_Central_America/CAN_Canada/QC_Quebec/CAN_QC_Chatham.Brownsburg.713985_TMYx.zip")</f>
        <v>https://climate.onebuilding.org/WMO_Region_4_North_and_Central_America/CAN_Canada/QC_Quebec/CAN_QC_Chatham.Brownsburg.713985_TMYx.zip</v>
      </c>
    </row>
    <row r="1407" spans="1:10" x14ac:dyDescent="0.25">
      <c r="A1407" t="s">
        <v>6</v>
      </c>
      <c r="B1407" t="s">
        <v>17</v>
      </c>
      <c r="C1407" t="s">
        <v>717</v>
      </c>
      <c r="D1407">
        <v>713990</v>
      </c>
      <c r="E1407" t="s">
        <v>718</v>
      </c>
      <c r="F1407">
        <v>51.590299999999999</v>
      </c>
      <c r="G1407">
        <v>-110.7547</v>
      </c>
      <c r="H1407">
        <v>-7</v>
      </c>
      <c r="I1407">
        <v>755</v>
      </c>
      <c r="J1407" t="str">
        <f>HYPERLINK("https://climate.onebuilding.org/WMO_Region_4_North_and_Central_America/CAN_Canada/AB_Alberta/CAN_AB_Sedalia.AgCM.713990_TMYx.2004-2018.zip")</f>
        <v>https://climate.onebuilding.org/WMO_Region_4_North_and_Central_America/CAN_Canada/AB_Alberta/CAN_AB_Sedalia.AgCM.713990_TMYx.2004-2018.zip</v>
      </c>
    </row>
    <row r="1408" spans="1:10" x14ac:dyDescent="0.25">
      <c r="A1408" t="s">
        <v>6</v>
      </c>
      <c r="B1408" t="s">
        <v>17</v>
      </c>
      <c r="C1408" t="s">
        <v>717</v>
      </c>
      <c r="D1408">
        <v>713990</v>
      </c>
      <c r="E1408" t="s">
        <v>10</v>
      </c>
      <c r="F1408">
        <v>51.590299999999999</v>
      </c>
      <c r="G1408">
        <v>-110.7547</v>
      </c>
      <c r="H1408">
        <v>-7</v>
      </c>
      <c r="I1408">
        <v>755</v>
      </c>
      <c r="J1408" t="str">
        <f>HYPERLINK("https://climate.onebuilding.org/WMO_Region_4_North_and_Central_America/CAN_Canada/AB_Alberta/CAN_AB_Sedalia.AgCM.713990_TMYx.2007-2021.zip")</f>
        <v>https://climate.onebuilding.org/WMO_Region_4_North_and_Central_America/CAN_Canada/AB_Alberta/CAN_AB_Sedalia.AgCM.713990_TMYx.2007-2021.zip</v>
      </c>
    </row>
    <row r="1409" spans="1:10" x14ac:dyDescent="0.25">
      <c r="A1409" t="s">
        <v>6</v>
      </c>
      <c r="B1409" t="s">
        <v>17</v>
      </c>
      <c r="C1409" t="s">
        <v>717</v>
      </c>
      <c r="D1409">
        <v>713990</v>
      </c>
      <c r="E1409" t="s">
        <v>10</v>
      </c>
      <c r="F1409">
        <v>51.590299999999999</v>
      </c>
      <c r="G1409">
        <v>-110.7547</v>
      </c>
      <c r="H1409">
        <v>-7</v>
      </c>
      <c r="I1409">
        <v>755</v>
      </c>
      <c r="J1409" t="str">
        <f>HYPERLINK("https://climate.onebuilding.org/WMO_Region_4_North_and_Central_America/CAN_Canada/AB_Alberta/CAN_AB_Sedalia.AgCM.713990_TMYx.2009-2023.zip")</f>
        <v>https://climate.onebuilding.org/WMO_Region_4_North_and_Central_America/CAN_Canada/AB_Alberta/CAN_AB_Sedalia.AgCM.713990_TMYx.2009-2023.zip</v>
      </c>
    </row>
    <row r="1410" spans="1:10" x14ac:dyDescent="0.25">
      <c r="A1410" t="s">
        <v>6</v>
      </c>
      <c r="B1410" t="s">
        <v>17</v>
      </c>
      <c r="C1410" t="s">
        <v>717</v>
      </c>
      <c r="D1410">
        <v>713990</v>
      </c>
      <c r="E1410" t="s">
        <v>10</v>
      </c>
      <c r="F1410">
        <v>51.590299999999999</v>
      </c>
      <c r="G1410">
        <v>-110.7547</v>
      </c>
      <c r="H1410">
        <v>-7</v>
      </c>
      <c r="I1410">
        <v>755</v>
      </c>
      <c r="J1410" t="str">
        <f>HYPERLINK("https://climate.onebuilding.org/WMO_Region_4_North_and_Central_America/CAN_Canada/AB_Alberta/CAN_AB_Sedalia.AgCM.713990_TMYx.zip")</f>
        <v>https://climate.onebuilding.org/WMO_Region_4_North_and_Central_America/CAN_Canada/AB_Alberta/CAN_AB_Sedalia.AgCM.713990_TMYx.zip</v>
      </c>
    </row>
    <row r="1411" spans="1:10" x14ac:dyDescent="0.25">
      <c r="A1411" t="s">
        <v>6</v>
      </c>
      <c r="B1411" t="s">
        <v>11</v>
      </c>
      <c r="C1411" t="s">
        <v>719</v>
      </c>
      <c r="D1411">
        <v>714000</v>
      </c>
      <c r="E1411" t="s">
        <v>720</v>
      </c>
      <c r="F1411">
        <v>48.966700000000003</v>
      </c>
      <c r="G1411">
        <v>-56.066699999999997</v>
      </c>
      <c r="H1411">
        <v>-3.5</v>
      </c>
      <c r="I1411">
        <v>102.7</v>
      </c>
      <c r="J1411" t="str">
        <f>HYPERLINK("https://climate.onebuilding.org/WMO_Region_4_North_and_Central_America/CAN_Canada/NL_Newfoundland_and_Labrador/CAN_NL_Badger.714000_TMYx.2004-2018.zip")</f>
        <v>https://climate.onebuilding.org/WMO_Region_4_North_and_Central_America/CAN_Canada/NL_Newfoundland_and_Labrador/CAN_NL_Badger.714000_TMYx.2004-2018.zip</v>
      </c>
    </row>
    <row r="1412" spans="1:10" x14ac:dyDescent="0.25">
      <c r="A1412" t="s">
        <v>6</v>
      </c>
      <c r="B1412" t="s">
        <v>11</v>
      </c>
      <c r="C1412" t="s">
        <v>719</v>
      </c>
      <c r="D1412">
        <v>714000</v>
      </c>
      <c r="E1412" t="s">
        <v>10</v>
      </c>
      <c r="F1412">
        <v>48.968000000000004</v>
      </c>
      <c r="G1412">
        <v>-56.061</v>
      </c>
      <c r="H1412">
        <v>-3.5</v>
      </c>
      <c r="I1412">
        <v>102.7</v>
      </c>
      <c r="J1412" t="str">
        <f>HYPERLINK("https://climate.onebuilding.org/WMO_Region_4_North_and_Central_America/CAN_Canada/NL_Newfoundland_and_Labrador/CAN_NL_Badger.714000_TMYx.2007-2021.zip")</f>
        <v>https://climate.onebuilding.org/WMO_Region_4_North_and_Central_America/CAN_Canada/NL_Newfoundland_and_Labrador/CAN_NL_Badger.714000_TMYx.2007-2021.zip</v>
      </c>
    </row>
    <row r="1413" spans="1:10" x14ac:dyDescent="0.25">
      <c r="A1413" t="s">
        <v>6</v>
      </c>
      <c r="B1413" t="s">
        <v>11</v>
      </c>
      <c r="C1413" t="s">
        <v>719</v>
      </c>
      <c r="D1413">
        <v>714000</v>
      </c>
      <c r="E1413" t="s">
        <v>10</v>
      </c>
      <c r="F1413">
        <v>48.968000000000004</v>
      </c>
      <c r="G1413">
        <v>-56.061</v>
      </c>
      <c r="H1413">
        <v>-3.5</v>
      </c>
      <c r="I1413">
        <v>102.7</v>
      </c>
      <c r="J1413" t="str">
        <f>HYPERLINK("https://climate.onebuilding.org/WMO_Region_4_North_and_Central_America/CAN_Canada/NL_Newfoundland_and_Labrador/CAN_NL_Badger.714000_TMYx.2009-2023.zip")</f>
        <v>https://climate.onebuilding.org/WMO_Region_4_North_and_Central_America/CAN_Canada/NL_Newfoundland_and_Labrador/CAN_NL_Badger.714000_TMYx.2009-2023.zip</v>
      </c>
    </row>
    <row r="1414" spans="1:10" x14ac:dyDescent="0.25">
      <c r="A1414" t="s">
        <v>6</v>
      </c>
      <c r="B1414" t="s">
        <v>11</v>
      </c>
      <c r="C1414" t="s">
        <v>719</v>
      </c>
      <c r="D1414">
        <v>714000</v>
      </c>
      <c r="E1414" t="s">
        <v>10</v>
      </c>
      <c r="F1414">
        <v>48.968000000000004</v>
      </c>
      <c r="G1414">
        <v>-56.061</v>
      </c>
      <c r="H1414">
        <v>-3.5</v>
      </c>
      <c r="I1414">
        <v>102.7</v>
      </c>
      <c r="J1414" t="str">
        <f>HYPERLINK("https://climate.onebuilding.org/WMO_Region_4_North_and_Central_America/CAN_Canada/NL_Newfoundland_and_Labrador/CAN_NL_Badger.714000_TMYx.zip")</f>
        <v>https://climate.onebuilding.org/WMO_Region_4_North_and_Central_America/CAN_Canada/NL_Newfoundland_and_Labrador/CAN_NL_Badger.714000_TMYx.zip</v>
      </c>
    </row>
    <row r="1415" spans="1:10" x14ac:dyDescent="0.25">
      <c r="A1415" t="s">
        <v>6</v>
      </c>
      <c r="B1415" t="s">
        <v>55</v>
      </c>
      <c r="C1415" t="s">
        <v>721</v>
      </c>
      <c r="D1415">
        <v>714010</v>
      </c>
      <c r="E1415" t="s">
        <v>722</v>
      </c>
      <c r="F1415">
        <v>49.111699999999999</v>
      </c>
      <c r="G1415">
        <v>-117.7389</v>
      </c>
      <c r="H1415">
        <v>-8</v>
      </c>
      <c r="I1415">
        <v>566.9</v>
      </c>
      <c r="J1415" t="str">
        <f>HYPERLINK("https://climate.onebuilding.org/WMO_Region_4_North_and_Central_America/CAN_Canada/BC_British_Columbia/CAN_BC_Warfield.RCS.714010_TMYx.2004-2018.zip")</f>
        <v>https://climate.onebuilding.org/WMO_Region_4_North_and_Central_America/CAN_Canada/BC_British_Columbia/CAN_BC_Warfield.RCS.714010_TMYx.2004-2018.zip</v>
      </c>
    </row>
    <row r="1416" spans="1:10" x14ac:dyDescent="0.25">
      <c r="A1416" t="s">
        <v>6</v>
      </c>
      <c r="B1416" t="s">
        <v>55</v>
      </c>
      <c r="C1416" t="s">
        <v>721</v>
      </c>
      <c r="D1416">
        <v>714010</v>
      </c>
      <c r="E1416" t="s">
        <v>10</v>
      </c>
      <c r="F1416">
        <v>49.112299999999998</v>
      </c>
      <c r="G1416">
        <v>-117.73860000000001</v>
      </c>
      <c r="H1416">
        <v>-8</v>
      </c>
      <c r="I1416">
        <v>566.9</v>
      </c>
      <c r="J1416" t="str">
        <f>HYPERLINK("https://climate.onebuilding.org/WMO_Region_4_North_and_Central_America/CAN_Canada/BC_British_Columbia/CAN_BC_Warfield.RCS.714010_TMYx.2007-2021.zip")</f>
        <v>https://climate.onebuilding.org/WMO_Region_4_North_and_Central_America/CAN_Canada/BC_British_Columbia/CAN_BC_Warfield.RCS.714010_TMYx.2007-2021.zip</v>
      </c>
    </row>
    <row r="1417" spans="1:10" x14ac:dyDescent="0.25">
      <c r="A1417" t="s">
        <v>6</v>
      </c>
      <c r="B1417" t="s">
        <v>55</v>
      </c>
      <c r="C1417" t="s">
        <v>721</v>
      </c>
      <c r="D1417">
        <v>714010</v>
      </c>
      <c r="E1417" t="s">
        <v>10</v>
      </c>
      <c r="F1417">
        <v>49.112299999999998</v>
      </c>
      <c r="G1417">
        <v>-117.73860000000001</v>
      </c>
      <c r="H1417">
        <v>-8</v>
      </c>
      <c r="I1417">
        <v>566.9</v>
      </c>
      <c r="J1417" t="str">
        <f>HYPERLINK("https://climate.onebuilding.org/WMO_Region_4_North_and_Central_America/CAN_Canada/BC_British_Columbia/CAN_BC_Warfield.RCS.714010_TMYx.2009-2023.zip")</f>
        <v>https://climate.onebuilding.org/WMO_Region_4_North_and_Central_America/CAN_Canada/BC_British_Columbia/CAN_BC_Warfield.RCS.714010_TMYx.2009-2023.zip</v>
      </c>
    </row>
    <row r="1418" spans="1:10" x14ac:dyDescent="0.25">
      <c r="A1418" t="s">
        <v>6</v>
      </c>
      <c r="B1418" t="s">
        <v>55</v>
      </c>
      <c r="C1418" t="s">
        <v>721</v>
      </c>
      <c r="D1418">
        <v>714010</v>
      </c>
      <c r="E1418" t="s">
        <v>10</v>
      </c>
      <c r="F1418">
        <v>49.112299999999998</v>
      </c>
      <c r="G1418">
        <v>-117.73860000000001</v>
      </c>
      <c r="H1418">
        <v>-8</v>
      </c>
      <c r="I1418">
        <v>566.9</v>
      </c>
      <c r="J1418" t="str">
        <f>HYPERLINK("https://climate.onebuilding.org/WMO_Region_4_North_and_Central_America/CAN_Canada/BC_British_Columbia/CAN_BC_Warfield.RCS.714010_TMYx.zip")</f>
        <v>https://climate.onebuilding.org/WMO_Region_4_North_and_Central_America/CAN_Canada/BC_British_Columbia/CAN_BC_Warfield.RCS.714010_TMYx.zip</v>
      </c>
    </row>
    <row r="1419" spans="1:10" x14ac:dyDescent="0.25">
      <c r="A1419" t="s">
        <v>6</v>
      </c>
      <c r="B1419" t="s">
        <v>11</v>
      </c>
      <c r="C1419" t="s">
        <v>723</v>
      </c>
      <c r="D1419">
        <v>714020</v>
      </c>
      <c r="E1419" t="s">
        <v>724</v>
      </c>
      <c r="F1419">
        <v>49.683300000000003</v>
      </c>
      <c r="G1419">
        <v>-54.8</v>
      </c>
      <c r="H1419">
        <v>-3.5</v>
      </c>
      <c r="I1419">
        <v>92.3</v>
      </c>
      <c r="J1419" t="str">
        <f>HYPERLINK("https://climate.onebuilding.org/WMO_Region_4_North_and_Central_America/CAN_Canada/NL_Newfoundland_and_Labrador/CAN_NL_Twillingate.714020_TMYx.2004-2018.zip")</f>
        <v>https://climate.onebuilding.org/WMO_Region_4_North_and_Central_America/CAN_Canada/NL_Newfoundland_and_Labrador/CAN_NL_Twillingate.714020_TMYx.2004-2018.zip</v>
      </c>
    </row>
    <row r="1420" spans="1:10" x14ac:dyDescent="0.25">
      <c r="A1420" t="s">
        <v>6</v>
      </c>
      <c r="B1420" t="s">
        <v>11</v>
      </c>
      <c r="C1420" t="s">
        <v>723</v>
      </c>
      <c r="D1420">
        <v>714020</v>
      </c>
      <c r="E1420" t="s">
        <v>10</v>
      </c>
      <c r="F1420">
        <v>49.683300000000003</v>
      </c>
      <c r="G1420">
        <v>-54.8</v>
      </c>
      <c r="H1420">
        <v>-3.5</v>
      </c>
      <c r="I1420">
        <v>92.3</v>
      </c>
      <c r="J1420" t="str">
        <f>HYPERLINK("https://climate.onebuilding.org/WMO_Region_4_North_and_Central_America/CAN_Canada/NL_Newfoundland_and_Labrador/CAN_NL_Twillingate.714020_TMYx.2007-2021.zip")</f>
        <v>https://climate.onebuilding.org/WMO_Region_4_North_and_Central_America/CAN_Canada/NL_Newfoundland_and_Labrador/CAN_NL_Twillingate.714020_TMYx.2007-2021.zip</v>
      </c>
    </row>
    <row r="1421" spans="1:10" x14ac:dyDescent="0.25">
      <c r="A1421" t="s">
        <v>6</v>
      </c>
      <c r="B1421" t="s">
        <v>11</v>
      </c>
      <c r="C1421" t="s">
        <v>723</v>
      </c>
      <c r="D1421">
        <v>714020</v>
      </c>
      <c r="E1421" t="s">
        <v>10</v>
      </c>
      <c r="F1421">
        <v>49.683300000000003</v>
      </c>
      <c r="G1421">
        <v>-54.8</v>
      </c>
      <c r="H1421">
        <v>-3.5</v>
      </c>
      <c r="I1421">
        <v>92.3</v>
      </c>
      <c r="J1421" t="str">
        <f>HYPERLINK("https://climate.onebuilding.org/WMO_Region_4_North_and_Central_America/CAN_Canada/NL_Newfoundland_and_Labrador/CAN_NL_Twillingate.714020_TMYx.2009-2023.zip")</f>
        <v>https://climate.onebuilding.org/WMO_Region_4_North_and_Central_America/CAN_Canada/NL_Newfoundland_and_Labrador/CAN_NL_Twillingate.714020_TMYx.2009-2023.zip</v>
      </c>
    </row>
    <row r="1422" spans="1:10" x14ac:dyDescent="0.25">
      <c r="A1422" t="s">
        <v>6</v>
      </c>
      <c r="B1422" t="s">
        <v>11</v>
      </c>
      <c r="C1422" t="s">
        <v>723</v>
      </c>
      <c r="D1422">
        <v>714020</v>
      </c>
      <c r="E1422" t="s">
        <v>10</v>
      </c>
      <c r="F1422">
        <v>49.683300000000003</v>
      </c>
      <c r="G1422">
        <v>-54.8</v>
      </c>
      <c r="H1422">
        <v>-3.5</v>
      </c>
      <c r="I1422">
        <v>92.3</v>
      </c>
      <c r="J1422" t="str">
        <f>HYPERLINK("https://climate.onebuilding.org/WMO_Region_4_North_and_Central_America/CAN_Canada/NL_Newfoundland_and_Labrador/CAN_NL_Twillingate.714020_TMYx.zip")</f>
        <v>https://climate.onebuilding.org/WMO_Region_4_North_and_Central_America/CAN_Canada/NL_Newfoundland_and_Labrador/CAN_NL_Twillingate.714020_TMYx.zip</v>
      </c>
    </row>
    <row r="1423" spans="1:10" x14ac:dyDescent="0.25">
      <c r="A1423" t="s">
        <v>6</v>
      </c>
      <c r="B1423" t="s">
        <v>68</v>
      </c>
      <c r="C1423" t="s">
        <v>725</v>
      </c>
      <c r="D1423">
        <v>714030</v>
      </c>
      <c r="E1423" t="s">
        <v>726</v>
      </c>
      <c r="F1423">
        <v>44.824719999999999</v>
      </c>
      <c r="G1423">
        <v>-62.337780000000002</v>
      </c>
      <c r="H1423">
        <v>-4</v>
      </c>
      <c r="I1423">
        <v>16</v>
      </c>
      <c r="J1423" t="str">
        <f>HYPERLINK("https://climate.onebuilding.org/WMO_Region_4_North_and_Central_America/CAN_Canada/NS_Nova_Scotia/CAN_NS_Beaver.Island.Lighthouse.714030_TMYx.2004-2018.zip")</f>
        <v>https://climate.onebuilding.org/WMO_Region_4_North_and_Central_America/CAN_Canada/NS_Nova_Scotia/CAN_NS_Beaver.Island.Lighthouse.714030_TMYx.2004-2018.zip</v>
      </c>
    </row>
    <row r="1424" spans="1:10" x14ac:dyDescent="0.25">
      <c r="A1424" t="s">
        <v>6</v>
      </c>
      <c r="B1424" t="s">
        <v>68</v>
      </c>
      <c r="C1424" t="s">
        <v>725</v>
      </c>
      <c r="D1424">
        <v>714030</v>
      </c>
      <c r="E1424" t="s">
        <v>10</v>
      </c>
      <c r="F1424">
        <v>44.824719999999999</v>
      </c>
      <c r="G1424">
        <v>-62.337780000000002</v>
      </c>
      <c r="H1424">
        <v>-4</v>
      </c>
      <c r="I1424">
        <v>16</v>
      </c>
      <c r="J1424" t="str">
        <f>HYPERLINK("https://climate.onebuilding.org/WMO_Region_4_North_and_Central_America/CAN_Canada/NS_Nova_Scotia/CAN_NS_Beaver.Island.Lighthouse.714030_TMYx.2007-2021.zip")</f>
        <v>https://climate.onebuilding.org/WMO_Region_4_North_and_Central_America/CAN_Canada/NS_Nova_Scotia/CAN_NS_Beaver.Island.Lighthouse.714030_TMYx.2007-2021.zip</v>
      </c>
    </row>
    <row r="1425" spans="1:10" x14ac:dyDescent="0.25">
      <c r="A1425" t="s">
        <v>6</v>
      </c>
      <c r="B1425" t="s">
        <v>68</v>
      </c>
      <c r="C1425" t="s">
        <v>725</v>
      </c>
      <c r="D1425">
        <v>714030</v>
      </c>
      <c r="E1425" t="s">
        <v>10</v>
      </c>
      <c r="F1425">
        <v>44.824719999999999</v>
      </c>
      <c r="G1425">
        <v>-62.337780000000002</v>
      </c>
      <c r="H1425">
        <v>-4</v>
      </c>
      <c r="I1425">
        <v>16</v>
      </c>
      <c r="J1425" t="str">
        <f>HYPERLINK("https://climate.onebuilding.org/WMO_Region_4_North_and_Central_America/CAN_Canada/NS_Nova_Scotia/CAN_NS_Beaver.Island.Lighthouse.714030_TMYx.2009-2023.zip")</f>
        <v>https://climate.onebuilding.org/WMO_Region_4_North_and_Central_America/CAN_Canada/NS_Nova_Scotia/CAN_NS_Beaver.Island.Lighthouse.714030_TMYx.2009-2023.zip</v>
      </c>
    </row>
    <row r="1426" spans="1:10" x14ac:dyDescent="0.25">
      <c r="A1426" t="s">
        <v>6</v>
      </c>
      <c r="B1426" t="s">
        <v>68</v>
      </c>
      <c r="C1426" t="s">
        <v>725</v>
      </c>
      <c r="D1426">
        <v>714030</v>
      </c>
      <c r="E1426" t="s">
        <v>10</v>
      </c>
      <c r="F1426">
        <v>44.824719999999999</v>
      </c>
      <c r="G1426">
        <v>-62.337780000000002</v>
      </c>
      <c r="H1426">
        <v>-4</v>
      </c>
      <c r="I1426">
        <v>16</v>
      </c>
      <c r="J1426" t="str">
        <f>HYPERLINK("https://climate.onebuilding.org/WMO_Region_4_North_and_Central_America/CAN_Canada/NS_Nova_Scotia/CAN_NS_Beaver.Island.Lighthouse.714030_TMYx.zip")</f>
        <v>https://climate.onebuilding.org/WMO_Region_4_North_and_Central_America/CAN_Canada/NS_Nova_Scotia/CAN_NS_Beaver.Island.Lighthouse.714030_TMYx.zip</v>
      </c>
    </row>
    <row r="1427" spans="1:10" x14ac:dyDescent="0.25">
      <c r="A1427" t="s">
        <v>6</v>
      </c>
      <c r="B1427" t="s">
        <v>17</v>
      </c>
      <c r="C1427" t="s">
        <v>727</v>
      </c>
      <c r="D1427">
        <v>714040</v>
      </c>
      <c r="E1427" t="s">
        <v>728</v>
      </c>
      <c r="F1427">
        <v>58.981400000000001</v>
      </c>
      <c r="G1427">
        <v>-110.43940000000001</v>
      </c>
      <c r="H1427">
        <v>-7</v>
      </c>
      <c r="I1427">
        <v>215</v>
      </c>
      <c r="J1427" t="str">
        <f>HYPERLINK("https://climate.onebuilding.org/WMO_Region_4_North_and_Central_America/CAN_Canada/AB_Alberta/CAN_AB_Egg.Island.714040_TMYx.2004-2018.zip")</f>
        <v>https://climate.onebuilding.org/WMO_Region_4_North_and_Central_America/CAN_Canada/AB_Alberta/CAN_AB_Egg.Island.714040_TMYx.2004-2018.zip</v>
      </c>
    </row>
    <row r="1428" spans="1:10" x14ac:dyDescent="0.25">
      <c r="A1428" t="s">
        <v>6</v>
      </c>
      <c r="B1428" t="s">
        <v>17</v>
      </c>
      <c r="C1428" t="s">
        <v>727</v>
      </c>
      <c r="D1428">
        <v>714040</v>
      </c>
      <c r="E1428" t="s">
        <v>10</v>
      </c>
      <c r="F1428">
        <v>58.981400000000001</v>
      </c>
      <c r="G1428">
        <v>-110.43940000000001</v>
      </c>
      <c r="H1428">
        <v>-7</v>
      </c>
      <c r="I1428">
        <v>215</v>
      </c>
      <c r="J1428" t="str">
        <f>HYPERLINK("https://climate.onebuilding.org/WMO_Region_4_North_and_Central_America/CAN_Canada/AB_Alberta/CAN_AB_Egg.Island.714040_TMYx.2007-2021.zip")</f>
        <v>https://climate.onebuilding.org/WMO_Region_4_North_and_Central_America/CAN_Canada/AB_Alberta/CAN_AB_Egg.Island.714040_TMYx.2007-2021.zip</v>
      </c>
    </row>
    <row r="1429" spans="1:10" x14ac:dyDescent="0.25">
      <c r="A1429" t="s">
        <v>6</v>
      </c>
      <c r="B1429" t="s">
        <v>17</v>
      </c>
      <c r="C1429" t="s">
        <v>727</v>
      </c>
      <c r="D1429">
        <v>714040</v>
      </c>
      <c r="E1429" t="s">
        <v>10</v>
      </c>
      <c r="F1429">
        <v>58.981400000000001</v>
      </c>
      <c r="G1429">
        <v>-110.43940000000001</v>
      </c>
      <c r="H1429">
        <v>-7</v>
      </c>
      <c r="I1429">
        <v>215</v>
      </c>
      <c r="J1429" t="str">
        <f>HYPERLINK("https://climate.onebuilding.org/WMO_Region_4_North_and_Central_America/CAN_Canada/AB_Alberta/CAN_AB_Egg.Island.714040_TMYx.2009-2023.zip")</f>
        <v>https://climate.onebuilding.org/WMO_Region_4_North_and_Central_America/CAN_Canada/AB_Alberta/CAN_AB_Egg.Island.714040_TMYx.2009-2023.zip</v>
      </c>
    </row>
    <row r="1430" spans="1:10" x14ac:dyDescent="0.25">
      <c r="A1430" t="s">
        <v>6</v>
      </c>
      <c r="B1430" t="s">
        <v>17</v>
      </c>
      <c r="C1430" t="s">
        <v>727</v>
      </c>
      <c r="D1430">
        <v>714040</v>
      </c>
      <c r="E1430" t="s">
        <v>10</v>
      </c>
      <c r="F1430">
        <v>58.981400000000001</v>
      </c>
      <c r="G1430">
        <v>-110.43940000000001</v>
      </c>
      <c r="H1430">
        <v>-7</v>
      </c>
      <c r="I1430">
        <v>215</v>
      </c>
      <c r="J1430" t="str">
        <f>HYPERLINK("https://climate.onebuilding.org/WMO_Region_4_North_and_Central_America/CAN_Canada/AB_Alberta/CAN_AB_Egg.Island.714040_TMYx.zip")</f>
        <v>https://climate.onebuilding.org/WMO_Region_4_North_and_Central_America/CAN_Canada/AB_Alberta/CAN_AB_Egg.Island.714040_TMYx.zip</v>
      </c>
    </row>
    <row r="1431" spans="1:10" x14ac:dyDescent="0.25">
      <c r="A1431" t="s">
        <v>6</v>
      </c>
      <c r="B1431" t="s">
        <v>17</v>
      </c>
      <c r="C1431" t="s">
        <v>729</v>
      </c>
      <c r="D1431">
        <v>714050</v>
      </c>
      <c r="E1431" t="s">
        <v>730</v>
      </c>
      <c r="F1431">
        <v>53.332500000000003</v>
      </c>
      <c r="G1431">
        <v>-112.5394</v>
      </c>
      <c r="H1431">
        <v>-7</v>
      </c>
      <c r="I1431">
        <v>679</v>
      </c>
      <c r="J1431" t="str">
        <f>HYPERLINK("https://climate.onebuilding.org/WMO_Region_4_North_and_Central_America/CAN_Canada/AB_Alberta/CAN_AB_Shonts.AgCM.714050_TMYx.2004-2018.zip")</f>
        <v>https://climate.onebuilding.org/WMO_Region_4_North_and_Central_America/CAN_Canada/AB_Alberta/CAN_AB_Shonts.AgCM.714050_TMYx.2004-2018.zip</v>
      </c>
    </row>
    <row r="1432" spans="1:10" x14ac:dyDescent="0.25">
      <c r="A1432" t="s">
        <v>6</v>
      </c>
      <c r="B1432" t="s">
        <v>17</v>
      </c>
      <c r="C1432" t="s">
        <v>729</v>
      </c>
      <c r="D1432">
        <v>714050</v>
      </c>
      <c r="E1432" t="s">
        <v>10</v>
      </c>
      <c r="F1432">
        <v>53.332500000000003</v>
      </c>
      <c r="G1432">
        <v>-112.5394</v>
      </c>
      <c r="H1432">
        <v>-7</v>
      </c>
      <c r="I1432">
        <v>679</v>
      </c>
      <c r="J1432" t="str">
        <f>HYPERLINK("https://climate.onebuilding.org/WMO_Region_4_North_and_Central_America/CAN_Canada/AB_Alberta/CAN_AB_Shonts.AgCM.714050_TMYx.2007-2021.zip")</f>
        <v>https://climate.onebuilding.org/WMO_Region_4_North_and_Central_America/CAN_Canada/AB_Alberta/CAN_AB_Shonts.AgCM.714050_TMYx.2007-2021.zip</v>
      </c>
    </row>
    <row r="1433" spans="1:10" x14ac:dyDescent="0.25">
      <c r="A1433" t="s">
        <v>6</v>
      </c>
      <c r="B1433" t="s">
        <v>17</v>
      </c>
      <c r="C1433" t="s">
        <v>729</v>
      </c>
      <c r="D1433">
        <v>714050</v>
      </c>
      <c r="E1433" t="s">
        <v>10</v>
      </c>
      <c r="F1433">
        <v>53.332500000000003</v>
      </c>
      <c r="G1433">
        <v>-112.5394</v>
      </c>
      <c r="H1433">
        <v>-7</v>
      </c>
      <c r="I1433">
        <v>679</v>
      </c>
      <c r="J1433" t="str">
        <f>HYPERLINK("https://climate.onebuilding.org/WMO_Region_4_North_and_Central_America/CAN_Canada/AB_Alberta/CAN_AB_Shonts.AgCM.714050_TMYx.2009-2023.zip")</f>
        <v>https://climate.onebuilding.org/WMO_Region_4_North_and_Central_America/CAN_Canada/AB_Alberta/CAN_AB_Shonts.AgCM.714050_TMYx.2009-2023.zip</v>
      </c>
    </row>
    <row r="1434" spans="1:10" x14ac:dyDescent="0.25">
      <c r="A1434" t="s">
        <v>6</v>
      </c>
      <c r="B1434" t="s">
        <v>17</v>
      </c>
      <c r="C1434" t="s">
        <v>729</v>
      </c>
      <c r="D1434">
        <v>714050</v>
      </c>
      <c r="E1434" t="s">
        <v>10</v>
      </c>
      <c r="F1434">
        <v>53.332500000000003</v>
      </c>
      <c r="G1434">
        <v>-112.5394</v>
      </c>
      <c r="H1434">
        <v>-7</v>
      </c>
      <c r="I1434">
        <v>679</v>
      </c>
      <c r="J1434" t="str">
        <f>HYPERLINK("https://climate.onebuilding.org/WMO_Region_4_North_and_Central_America/CAN_Canada/AB_Alberta/CAN_AB_Shonts.AgCM.714050_TMYx.zip")</f>
        <v>https://climate.onebuilding.org/WMO_Region_4_North_and_Central_America/CAN_Canada/AB_Alberta/CAN_AB_Shonts.AgCM.714050_TMYx.zip</v>
      </c>
    </row>
    <row r="1435" spans="1:10" x14ac:dyDescent="0.25">
      <c r="A1435" t="s">
        <v>6</v>
      </c>
      <c r="B1435" t="s">
        <v>11</v>
      </c>
      <c r="C1435" t="s">
        <v>731</v>
      </c>
      <c r="D1435">
        <v>714060</v>
      </c>
      <c r="E1435" t="s">
        <v>732</v>
      </c>
      <c r="F1435">
        <v>51.0167</v>
      </c>
      <c r="G1435">
        <v>-57.1</v>
      </c>
      <c r="H1435">
        <v>-3.5</v>
      </c>
      <c r="I1435">
        <v>5.8</v>
      </c>
      <c r="J1435" t="str">
        <f>HYPERLINK("https://climate.onebuilding.org/WMO_Region_4_North_and_Central_America/CAN_Canada/NL_Newfoundland_and_Labrador/CAN_NL_Ferolle.Point.714060_TMYx.2004-2018.zip")</f>
        <v>https://climate.onebuilding.org/WMO_Region_4_North_and_Central_America/CAN_Canada/NL_Newfoundland_and_Labrador/CAN_NL_Ferolle.Point.714060_TMYx.2004-2018.zip</v>
      </c>
    </row>
    <row r="1436" spans="1:10" x14ac:dyDescent="0.25">
      <c r="A1436" t="s">
        <v>6</v>
      </c>
      <c r="B1436" t="s">
        <v>11</v>
      </c>
      <c r="C1436" t="s">
        <v>731</v>
      </c>
      <c r="D1436">
        <v>714060</v>
      </c>
      <c r="E1436" t="s">
        <v>10</v>
      </c>
      <c r="F1436">
        <v>51.021999999999998</v>
      </c>
      <c r="G1436">
        <v>-57.095999999999997</v>
      </c>
      <c r="H1436">
        <v>-3.5</v>
      </c>
      <c r="I1436">
        <v>5.8</v>
      </c>
      <c r="J1436" t="str">
        <f>HYPERLINK("https://climate.onebuilding.org/WMO_Region_4_North_and_Central_America/CAN_Canada/NL_Newfoundland_and_Labrador/CAN_NL_Ferolle.Point.714060_TMYx.2007-2021.zip")</f>
        <v>https://climate.onebuilding.org/WMO_Region_4_North_and_Central_America/CAN_Canada/NL_Newfoundland_and_Labrador/CAN_NL_Ferolle.Point.714060_TMYx.2007-2021.zip</v>
      </c>
    </row>
    <row r="1437" spans="1:10" x14ac:dyDescent="0.25">
      <c r="A1437" t="s">
        <v>6</v>
      </c>
      <c r="B1437" t="s">
        <v>11</v>
      </c>
      <c r="C1437" t="s">
        <v>731</v>
      </c>
      <c r="D1437">
        <v>714060</v>
      </c>
      <c r="E1437" t="s">
        <v>10</v>
      </c>
      <c r="F1437">
        <v>51.021999999999998</v>
      </c>
      <c r="G1437">
        <v>-57.095999999999997</v>
      </c>
      <c r="H1437">
        <v>-3.5</v>
      </c>
      <c r="I1437">
        <v>5.8</v>
      </c>
      <c r="J1437" t="str">
        <f>HYPERLINK("https://climate.onebuilding.org/WMO_Region_4_North_and_Central_America/CAN_Canada/NL_Newfoundland_and_Labrador/CAN_NL_Ferolle.Point.714060_TMYx.2009-2023.zip")</f>
        <v>https://climate.onebuilding.org/WMO_Region_4_North_and_Central_America/CAN_Canada/NL_Newfoundland_and_Labrador/CAN_NL_Ferolle.Point.714060_TMYx.2009-2023.zip</v>
      </c>
    </row>
    <row r="1438" spans="1:10" x14ac:dyDescent="0.25">
      <c r="A1438" t="s">
        <v>6</v>
      </c>
      <c r="B1438" t="s">
        <v>11</v>
      </c>
      <c r="C1438" t="s">
        <v>731</v>
      </c>
      <c r="D1438">
        <v>714060</v>
      </c>
      <c r="E1438" t="s">
        <v>10</v>
      </c>
      <c r="F1438">
        <v>51.021999999999998</v>
      </c>
      <c r="G1438">
        <v>-57.095999999999997</v>
      </c>
      <c r="H1438">
        <v>-3.5</v>
      </c>
      <c r="I1438">
        <v>5.8</v>
      </c>
      <c r="J1438" t="str">
        <f>HYPERLINK("https://climate.onebuilding.org/WMO_Region_4_North_and_Central_America/CAN_Canada/NL_Newfoundland_and_Labrador/CAN_NL_Ferolle.Point.714060_TMYx.zip")</f>
        <v>https://climate.onebuilding.org/WMO_Region_4_North_and_Central_America/CAN_Canada/NL_Newfoundland_and_Labrador/CAN_NL_Ferolle.Point.714060_TMYx.zip</v>
      </c>
    </row>
    <row r="1439" spans="1:10" x14ac:dyDescent="0.25">
      <c r="A1439" t="s">
        <v>6</v>
      </c>
      <c r="B1439" t="s">
        <v>42</v>
      </c>
      <c r="C1439" t="s">
        <v>733</v>
      </c>
      <c r="D1439">
        <v>714070</v>
      </c>
      <c r="E1439" t="s">
        <v>734</v>
      </c>
      <c r="F1439">
        <v>68.537499999999994</v>
      </c>
      <c r="G1439">
        <v>-89.796400000000006</v>
      </c>
      <c r="H1439">
        <v>-7</v>
      </c>
      <c r="I1439">
        <v>17</v>
      </c>
      <c r="J1439" t="str">
        <f>HYPERLINK("https://climate.onebuilding.org/WMO_Region_4_North_and_Central_America/CAN_Canada/NU_Nunavut/CAN_NU_Kugaaruk.AP.714070_TMYx.2004-2018.zip")</f>
        <v>https://climate.onebuilding.org/WMO_Region_4_North_and_Central_America/CAN_Canada/NU_Nunavut/CAN_NU_Kugaaruk.AP.714070_TMYx.2004-2018.zip</v>
      </c>
    </row>
    <row r="1440" spans="1:10" x14ac:dyDescent="0.25">
      <c r="A1440" t="s">
        <v>6</v>
      </c>
      <c r="B1440" t="s">
        <v>42</v>
      </c>
      <c r="C1440" t="s">
        <v>733</v>
      </c>
      <c r="D1440">
        <v>714070</v>
      </c>
      <c r="E1440" t="s">
        <v>10</v>
      </c>
      <c r="F1440">
        <v>68.537499999999994</v>
      </c>
      <c r="G1440">
        <v>-89.788889999999995</v>
      </c>
      <c r="H1440">
        <v>-7</v>
      </c>
      <c r="I1440">
        <v>17</v>
      </c>
      <c r="J1440" t="str">
        <f>HYPERLINK("https://climate.onebuilding.org/WMO_Region_4_North_and_Central_America/CAN_Canada/NU_Nunavut/CAN_NU_Kugaaruk.AP.714070_TMYx.2007-2021.zip")</f>
        <v>https://climate.onebuilding.org/WMO_Region_4_North_and_Central_America/CAN_Canada/NU_Nunavut/CAN_NU_Kugaaruk.AP.714070_TMYx.2007-2021.zip</v>
      </c>
    </row>
    <row r="1441" spans="1:10" x14ac:dyDescent="0.25">
      <c r="A1441" t="s">
        <v>6</v>
      </c>
      <c r="B1441" t="s">
        <v>42</v>
      </c>
      <c r="C1441" t="s">
        <v>733</v>
      </c>
      <c r="D1441">
        <v>714070</v>
      </c>
      <c r="E1441" t="s">
        <v>10</v>
      </c>
      <c r="F1441">
        <v>68.537499999999994</v>
      </c>
      <c r="G1441">
        <v>-89.788889999999995</v>
      </c>
      <c r="H1441">
        <v>-7</v>
      </c>
      <c r="I1441">
        <v>17</v>
      </c>
      <c r="J1441" t="str">
        <f>HYPERLINK("https://climate.onebuilding.org/WMO_Region_4_North_and_Central_America/CAN_Canada/NU_Nunavut/CAN_NU_Kugaaruk.AP.714070_TMYx.2009-2023.zip")</f>
        <v>https://climate.onebuilding.org/WMO_Region_4_North_and_Central_America/CAN_Canada/NU_Nunavut/CAN_NU_Kugaaruk.AP.714070_TMYx.2009-2023.zip</v>
      </c>
    </row>
    <row r="1442" spans="1:10" x14ac:dyDescent="0.25">
      <c r="A1442" t="s">
        <v>6</v>
      </c>
      <c r="B1442" t="s">
        <v>42</v>
      </c>
      <c r="C1442" t="s">
        <v>733</v>
      </c>
      <c r="D1442">
        <v>714070</v>
      </c>
      <c r="E1442" t="s">
        <v>10</v>
      </c>
      <c r="F1442">
        <v>68.537499999999994</v>
      </c>
      <c r="G1442">
        <v>-89.788889999999995</v>
      </c>
      <c r="H1442">
        <v>-7</v>
      </c>
      <c r="I1442">
        <v>17</v>
      </c>
      <c r="J1442" t="str">
        <f>HYPERLINK("https://climate.onebuilding.org/WMO_Region_4_North_and_Central_America/CAN_Canada/NU_Nunavut/CAN_NU_Kugaaruk.AP.714070_TMYx.zip")</f>
        <v>https://climate.onebuilding.org/WMO_Region_4_North_and_Central_America/CAN_Canada/NU_Nunavut/CAN_NU_Kugaaruk.AP.714070_TMYx.zip</v>
      </c>
    </row>
    <row r="1443" spans="1:10" x14ac:dyDescent="0.25">
      <c r="A1443" t="s">
        <v>6</v>
      </c>
      <c r="B1443" t="s">
        <v>11</v>
      </c>
      <c r="C1443" t="s">
        <v>735</v>
      </c>
      <c r="D1443">
        <v>714080</v>
      </c>
      <c r="E1443" t="s">
        <v>736</v>
      </c>
      <c r="F1443">
        <v>47.367800000000003</v>
      </c>
      <c r="G1443">
        <v>-55.794699999999999</v>
      </c>
      <c r="H1443">
        <v>-3.5</v>
      </c>
      <c r="I1443">
        <v>59.7</v>
      </c>
      <c r="J1443" t="str">
        <f>HYPERLINK("https://climate.onebuilding.org/WMO_Region_4_North_and_Central_America/CAN_Canada/NL_Newfoundland_and_Labrador/CAN_NL_Sagona.Island.714080_TMYx.2004-2018.zip")</f>
        <v>https://climate.onebuilding.org/WMO_Region_4_North_and_Central_America/CAN_Canada/NL_Newfoundland_and_Labrador/CAN_NL_Sagona.Island.714080_TMYx.2004-2018.zip</v>
      </c>
    </row>
    <row r="1444" spans="1:10" x14ac:dyDescent="0.25">
      <c r="A1444" t="s">
        <v>6</v>
      </c>
      <c r="B1444" t="s">
        <v>11</v>
      </c>
      <c r="C1444" t="s">
        <v>735</v>
      </c>
      <c r="D1444">
        <v>714080</v>
      </c>
      <c r="E1444" t="s">
        <v>10</v>
      </c>
      <c r="F1444">
        <v>47.367800000000003</v>
      </c>
      <c r="G1444">
        <v>-55.794699999999999</v>
      </c>
      <c r="H1444">
        <v>-3.5</v>
      </c>
      <c r="I1444">
        <v>59.7</v>
      </c>
      <c r="J1444" t="str">
        <f>HYPERLINK("https://climate.onebuilding.org/WMO_Region_4_North_and_Central_America/CAN_Canada/NL_Newfoundland_and_Labrador/CAN_NL_Sagona.Island.714080_TMYx.2007-2021.zip")</f>
        <v>https://climate.onebuilding.org/WMO_Region_4_North_and_Central_America/CAN_Canada/NL_Newfoundland_and_Labrador/CAN_NL_Sagona.Island.714080_TMYx.2007-2021.zip</v>
      </c>
    </row>
    <row r="1445" spans="1:10" x14ac:dyDescent="0.25">
      <c r="A1445" t="s">
        <v>6</v>
      </c>
      <c r="B1445" t="s">
        <v>11</v>
      </c>
      <c r="C1445" t="s">
        <v>735</v>
      </c>
      <c r="D1445">
        <v>714080</v>
      </c>
      <c r="E1445" t="s">
        <v>10</v>
      </c>
      <c r="F1445">
        <v>47.367800000000003</v>
      </c>
      <c r="G1445">
        <v>-55.794699999999999</v>
      </c>
      <c r="H1445">
        <v>-3.5</v>
      </c>
      <c r="I1445">
        <v>59.7</v>
      </c>
      <c r="J1445" t="str">
        <f>HYPERLINK("https://climate.onebuilding.org/WMO_Region_4_North_and_Central_America/CAN_Canada/NL_Newfoundland_and_Labrador/CAN_NL_Sagona.Island.714080_TMYx.2009-2023.zip")</f>
        <v>https://climate.onebuilding.org/WMO_Region_4_North_and_Central_America/CAN_Canada/NL_Newfoundland_and_Labrador/CAN_NL_Sagona.Island.714080_TMYx.2009-2023.zip</v>
      </c>
    </row>
    <row r="1446" spans="1:10" x14ac:dyDescent="0.25">
      <c r="A1446" t="s">
        <v>6</v>
      </c>
      <c r="B1446" t="s">
        <v>11</v>
      </c>
      <c r="C1446" t="s">
        <v>735</v>
      </c>
      <c r="D1446">
        <v>714080</v>
      </c>
      <c r="E1446" t="s">
        <v>10</v>
      </c>
      <c r="F1446">
        <v>47.367800000000003</v>
      </c>
      <c r="G1446">
        <v>-55.794699999999999</v>
      </c>
      <c r="H1446">
        <v>-3.5</v>
      </c>
      <c r="I1446">
        <v>59.7</v>
      </c>
      <c r="J1446" t="str">
        <f>HYPERLINK("https://climate.onebuilding.org/WMO_Region_4_North_and_Central_America/CAN_Canada/NL_Newfoundland_and_Labrador/CAN_NL_Sagona.Island.714080_TMYx.zip")</f>
        <v>https://climate.onebuilding.org/WMO_Region_4_North_and_Central_America/CAN_Canada/NL_Newfoundland_and_Labrador/CAN_NL_Sagona.Island.714080_TMYx.zip</v>
      </c>
    </row>
    <row r="1447" spans="1:10" x14ac:dyDescent="0.25">
      <c r="A1447" t="s">
        <v>6</v>
      </c>
      <c r="B1447" t="s">
        <v>17</v>
      </c>
      <c r="C1447" t="s">
        <v>737</v>
      </c>
      <c r="D1447">
        <v>714090</v>
      </c>
      <c r="E1447" t="s">
        <v>738</v>
      </c>
      <c r="F1447">
        <v>49.552799999999998</v>
      </c>
      <c r="G1447">
        <v>-111.05419999999999</v>
      </c>
      <c r="H1447">
        <v>-7</v>
      </c>
      <c r="I1447">
        <v>845</v>
      </c>
      <c r="J1447" t="str">
        <f>HYPERLINK("https://climate.onebuilding.org/WMO_Region_4_North_and_Central_America/CAN_Canada/AB_Alberta/CAN_AB_Etzicom.AgCM.714090_TMYx.2004-2018.zip")</f>
        <v>https://climate.onebuilding.org/WMO_Region_4_North_and_Central_America/CAN_Canada/AB_Alberta/CAN_AB_Etzicom.AgCM.714090_TMYx.2004-2018.zip</v>
      </c>
    </row>
    <row r="1448" spans="1:10" x14ac:dyDescent="0.25">
      <c r="A1448" t="s">
        <v>6</v>
      </c>
      <c r="B1448" t="s">
        <v>17</v>
      </c>
      <c r="C1448" t="s">
        <v>737</v>
      </c>
      <c r="D1448">
        <v>714090</v>
      </c>
      <c r="E1448" t="s">
        <v>10</v>
      </c>
      <c r="F1448">
        <v>49.552799999999998</v>
      </c>
      <c r="G1448">
        <v>-111.05419999999999</v>
      </c>
      <c r="H1448">
        <v>-7</v>
      </c>
      <c r="I1448">
        <v>845</v>
      </c>
      <c r="J1448" t="str">
        <f>HYPERLINK("https://climate.onebuilding.org/WMO_Region_4_North_and_Central_America/CAN_Canada/AB_Alberta/CAN_AB_Etzicom.AgCM.714090_TMYx.2007-2021.zip")</f>
        <v>https://climate.onebuilding.org/WMO_Region_4_North_and_Central_America/CAN_Canada/AB_Alberta/CAN_AB_Etzicom.AgCM.714090_TMYx.2007-2021.zip</v>
      </c>
    </row>
    <row r="1449" spans="1:10" x14ac:dyDescent="0.25">
      <c r="A1449" t="s">
        <v>6</v>
      </c>
      <c r="B1449" t="s">
        <v>17</v>
      </c>
      <c r="C1449" t="s">
        <v>737</v>
      </c>
      <c r="D1449">
        <v>714090</v>
      </c>
      <c r="E1449" t="s">
        <v>10</v>
      </c>
      <c r="F1449">
        <v>49.552799999999998</v>
      </c>
      <c r="G1449">
        <v>-111.05419999999999</v>
      </c>
      <c r="H1449">
        <v>-7</v>
      </c>
      <c r="I1449">
        <v>845</v>
      </c>
      <c r="J1449" t="str">
        <f>HYPERLINK("https://climate.onebuilding.org/WMO_Region_4_North_and_Central_America/CAN_Canada/AB_Alberta/CAN_AB_Etzicom.AgCM.714090_TMYx.2009-2023.zip")</f>
        <v>https://climate.onebuilding.org/WMO_Region_4_North_and_Central_America/CAN_Canada/AB_Alberta/CAN_AB_Etzicom.AgCM.714090_TMYx.2009-2023.zip</v>
      </c>
    </row>
    <row r="1450" spans="1:10" x14ac:dyDescent="0.25">
      <c r="A1450" t="s">
        <v>6</v>
      </c>
      <c r="B1450" t="s">
        <v>17</v>
      </c>
      <c r="C1450" t="s">
        <v>737</v>
      </c>
      <c r="D1450">
        <v>714090</v>
      </c>
      <c r="E1450" t="s">
        <v>10</v>
      </c>
      <c r="F1450">
        <v>49.552799999999998</v>
      </c>
      <c r="G1450">
        <v>-111.05419999999999</v>
      </c>
      <c r="H1450">
        <v>-7</v>
      </c>
      <c r="I1450">
        <v>845</v>
      </c>
      <c r="J1450" t="str">
        <f>HYPERLINK("https://climate.onebuilding.org/WMO_Region_4_North_and_Central_America/CAN_Canada/AB_Alberta/CAN_AB_Etzicom.AgCM.714090_TMYx.zip")</f>
        <v>https://climate.onebuilding.org/WMO_Region_4_North_and_Central_America/CAN_Canada/AB_Alberta/CAN_AB_Etzicom.AgCM.714090_TMYx.zip</v>
      </c>
    </row>
    <row r="1451" spans="1:10" x14ac:dyDescent="0.25">
      <c r="A1451" t="s">
        <v>6</v>
      </c>
      <c r="B1451" t="s">
        <v>94</v>
      </c>
      <c r="C1451" t="s">
        <v>739</v>
      </c>
      <c r="D1451">
        <v>714100</v>
      </c>
      <c r="E1451" t="s">
        <v>740</v>
      </c>
      <c r="F1451">
        <v>53.958300000000001</v>
      </c>
      <c r="G1451">
        <v>-97.844200000000001</v>
      </c>
      <c r="H1451">
        <v>-6</v>
      </c>
      <c r="I1451">
        <v>223.7</v>
      </c>
      <c r="J1451" t="str">
        <f>HYPERLINK("https://climate.onebuilding.org/WMO_Region_4_North_and_Central_America/CAN_Canada/MB_Manitoba/CAN_MB_Norway.House.AP.714100_TMYx.2004-2018.zip")</f>
        <v>https://climate.onebuilding.org/WMO_Region_4_North_and_Central_America/CAN_Canada/MB_Manitoba/CAN_MB_Norway.House.AP.714100_TMYx.2004-2018.zip</v>
      </c>
    </row>
    <row r="1452" spans="1:10" x14ac:dyDescent="0.25">
      <c r="A1452" t="s">
        <v>6</v>
      </c>
      <c r="B1452" t="s">
        <v>94</v>
      </c>
      <c r="C1452" t="s">
        <v>739</v>
      </c>
      <c r="D1452">
        <v>714100</v>
      </c>
      <c r="E1452" t="s">
        <v>10</v>
      </c>
      <c r="F1452">
        <v>53.958300000000001</v>
      </c>
      <c r="G1452">
        <v>-97.844200000000001</v>
      </c>
      <c r="H1452">
        <v>-6</v>
      </c>
      <c r="I1452">
        <v>223.7</v>
      </c>
      <c r="J1452" t="str">
        <f>HYPERLINK("https://climate.onebuilding.org/WMO_Region_4_North_and_Central_America/CAN_Canada/MB_Manitoba/CAN_MB_Norway.House.AP.714100_TMYx.2007-2021.zip")</f>
        <v>https://climate.onebuilding.org/WMO_Region_4_North_and_Central_America/CAN_Canada/MB_Manitoba/CAN_MB_Norway.House.AP.714100_TMYx.2007-2021.zip</v>
      </c>
    </row>
    <row r="1453" spans="1:10" x14ac:dyDescent="0.25">
      <c r="A1453" t="s">
        <v>6</v>
      </c>
      <c r="B1453" t="s">
        <v>94</v>
      </c>
      <c r="C1453" t="s">
        <v>739</v>
      </c>
      <c r="D1453">
        <v>714100</v>
      </c>
      <c r="E1453" t="s">
        <v>10</v>
      </c>
      <c r="F1453">
        <v>53.958300000000001</v>
      </c>
      <c r="G1453">
        <v>-97.844200000000001</v>
      </c>
      <c r="H1453">
        <v>-6</v>
      </c>
      <c r="I1453">
        <v>223.7</v>
      </c>
      <c r="J1453" t="str">
        <f>HYPERLINK("https://climate.onebuilding.org/WMO_Region_4_North_and_Central_America/CAN_Canada/MB_Manitoba/CAN_MB_Norway.House.AP.714100_TMYx.2009-2023.zip")</f>
        <v>https://climate.onebuilding.org/WMO_Region_4_North_and_Central_America/CAN_Canada/MB_Manitoba/CAN_MB_Norway.House.AP.714100_TMYx.2009-2023.zip</v>
      </c>
    </row>
    <row r="1454" spans="1:10" x14ac:dyDescent="0.25">
      <c r="A1454" t="s">
        <v>6</v>
      </c>
      <c r="B1454" t="s">
        <v>94</v>
      </c>
      <c r="C1454" t="s">
        <v>739</v>
      </c>
      <c r="D1454">
        <v>714100</v>
      </c>
      <c r="E1454" t="s">
        <v>10</v>
      </c>
      <c r="F1454">
        <v>53.958300000000001</v>
      </c>
      <c r="G1454">
        <v>-97.844200000000001</v>
      </c>
      <c r="H1454">
        <v>-6</v>
      </c>
      <c r="I1454">
        <v>223.7</v>
      </c>
      <c r="J1454" t="str">
        <f>HYPERLINK("https://climate.onebuilding.org/WMO_Region_4_North_and_Central_America/CAN_Canada/MB_Manitoba/CAN_MB_Norway.House.AP.714100_TMYx.zip")</f>
        <v>https://climate.onebuilding.org/WMO_Region_4_North_and_Central_America/CAN_Canada/MB_Manitoba/CAN_MB_Norway.House.AP.714100_TMYx.zip</v>
      </c>
    </row>
    <row r="1455" spans="1:10" x14ac:dyDescent="0.25">
      <c r="A1455" t="s">
        <v>6</v>
      </c>
      <c r="B1455" t="s">
        <v>68</v>
      </c>
      <c r="C1455" t="s">
        <v>741</v>
      </c>
      <c r="D1455">
        <v>714110</v>
      </c>
      <c r="E1455" t="s">
        <v>742</v>
      </c>
      <c r="F1455">
        <v>43.99</v>
      </c>
      <c r="G1455">
        <v>-64.664199999999994</v>
      </c>
      <c r="H1455">
        <v>-4</v>
      </c>
      <c r="I1455">
        <v>10.1</v>
      </c>
      <c r="J1455" t="str">
        <f>HYPERLINK("https://climate.onebuilding.org/WMO_Region_4_North_and_Central_America/CAN_Canada/NS_Nova_Scotia/CAN_NS_Western.Head.714110_TMYx.2004-2018.zip")</f>
        <v>https://climate.onebuilding.org/WMO_Region_4_North_and_Central_America/CAN_Canada/NS_Nova_Scotia/CAN_NS_Western.Head.714110_TMYx.2004-2018.zip</v>
      </c>
    </row>
    <row r="1456" spans="1:10" x14ac:dyDescent="0.25">
      <c r="A1456" t="s">
        <v>6</v>
      </c>
      <c r="B1456" t="s">
        <v>68</v>
      </c>
      <c r="C1456" t="s">
        <v>741</v>
      </c>
      <c r="D1456">
        <v>714110</v>
      </c>
      <c r="E1456" t="s">
        <v>10</v>
      </c>
      <c r="F1456">
        <v>43.99</v>
      </c>
      <c r="G1456">
        <v>-64.664199999999994</v>
      </c>
      <c r="H1456">
        <v>-4</v>
      </c>
      <c r="I1456">
        <v>10.1</v>
      </c>
      <c r="J1456" t="str">
        <f>HYPERLINK("https://climate.onebuilding.org/WMO_Region_4_North_and_Central_America/CAN_Canada/NS_Nova_Scotia/CAN_NS_Western.Head.714110_TMYx.2007-2021.zip")</f>
        <v>https://climate.onebuilding.org/WMO_Region_4_North_and_Central_America/CAN_Canada/NS_Nova_Scotia/CAN_NS_Western.Head.714110_TMYx.2007-2021.zip</v>
      </c>
    </row>
    <row r="1457" spans="1:10" x14ac:dyDescent="0.25">
      <c r="A1457" t="s">
        <v>6</v>
      </c>
      <c r="B1457" t="s">
        <v>68</v>
      </c>
      <c r="C1457" t="s">
        <v>741</v>
      </c>
      <c r="D1457">
        <v>714110</v>
      </c>
      <c r="E1457" t="s">
        <v>10</v>
      </c>
      <c r="F1457">
        <v>43.99</v>
      </c>
      <c r="G1457">
        <v>-64.664199999999994</v>
      </c>
      <c r="H1457">
        <v>-4</v>
      </c>
      <c r="I1457">
        <v>10.1</v>
      </c>
      <c r="J1457" t="str">
        <f>HYPERLINK("https://climate.onebuilding.org/WMO_Region_4_North_and_Central_America/CAN_Canada/NS_Nova_Scotia/CAN_NS_Western.Head.714110_TMYx.2009-2023.zip")</f>
        <v>https://climate.onebuilding.org/WMO_Region_4_North_and_Central_America/CAN_Canada/NS_Nova_Scotia/CAN_NS_Western.Head.714110_TMYx.2009-2023.zip</v>
      </c>
    </row>
    <row r="1458" spans="1:10" x14ac:dyDescent="0.25">
      <c r="A1458" t="s">
        <v>6</v>
      </c>
      <c r="B1458" t="s">
        <v>68</v>
      </c>
      <c r="C1458" t="s">
        <v>741</v>
      </c>
      <c r="D1458">
        <v>714110</v>
      </c>
      <c r="E1458" t="s">
        <v>10</v>
      </c>
      <c r="F1458">
        <v>43.99</v>
      </c>
      <c r="G1458">
        <v>-64.664199999999994</v>
      </c>
      <c r="H1458">
        <v>-4</v>
      </c>
      <c r="I1458">
        <v>10.1</v>
      </c>
      <c r="J1458" t="str">
        <f>HYPERLINK("https://climate.onebuilding.org/WMO_Region_4_North_and_Central_America/CAN_Canada/NS_Nova_Scotia/CAN_NS_Western.Head.714110_TMYx.zip")</f>
        <v>https://climate.onebuilding.org/WMO_Region_4_North_and_Central_America/CAN_Canada/NS_Nova_Scotia/CAN_NS_Western.Head.714110_TMYx.zip</v>
      </c>
    </row>
    <row r="1459" spans="1:10" x14ac:dyDescent="0.25">
      <c r="A1459" t="s">
        <v>6</v>
      </c>
      <c r="B1459" t="s">
        <v>65</v>
      </c>
      <c r="C1459" t="s">
        <v>743</v>
      </c>
      <c r="D1459">
        <v>714120</v>
      </c>
      <c r="E1459" t="s">
        <v>744</v>
      </c>
      <c r="F1459">
        <v>46.46</v>
      </c>
      <c r="G1459">
        <v>-61.988300000000002</v>
      </c>
      <c r="H1459">
        <v>-4</v>
      </c>
      <c r="I1459">
        <v>7.7</v>
      </c>
      <c r="J1459" t="str">
        <f>HYPERLINK("https://climate.onebuilding.org/WMO_Region_4_North_and_Central_America/CAN_Canada/PE_Prince_Edward_Island/CAN_PE_East.Point.714120_TMYx.2004-2018.zip")</f>
        <v>https://climate.onebuilding.org/WMO_Region_4_North_and_Central_America/CAN_Canada/PE_Prince_Edward_Island/CAN_PE_East.Point.714120_TMYx.2004-2018.zip</v>
      </c>
    </row>
    <row r="1460" spans="1:10" x14ac:dyDescent="0.25">
      <c r="A1460" t="s">
        <v>6</v>
      </c>
      <c r="B1460" t="s">
        <v>65</v>
      </c>
      <c r="C1460" t="s">
        <v>743</v>
      </c>
      <c r="D1460">
        <v>714120</v>
      </c>
      <c r="E1460" t="s">
        <v>10</v>
      </c>
      <c r="F1460">
        <v>46.459699999999998</v>
      </c>
      <c r="G1460">
        <v>-61.9878</v>
      </c>
      <c r="H1460">
        <v>-4</v>
      </c>
      <c r="I1460">
        <v>7.7</v>
      </c>
      <c r="J1460" t="str">
        <f>HYPERLINK("https://climate.onebuilding.org/WMO_Region_4_North_and_Central_America/CAN_Canada/PE_Prince_Edward_Island/CAN_PE_East.Point.714120_TMYx.2007-2021.zip")</f>
        <v>https://climate.onebuilding.org/WMO_Region_4_North_and_Central_America/CAN_Canada/PE_Prince_Edward_Island/CAN_PE_East.Point.714120_TMYx.2007-2021.zip</v>
      </c>
    </row>
    <row r="1461" spans="1:10" x14ac:dyDescent="0.25">
      <c r="A1461" t="s">
        <v>6</v>
      </c>
      <c r="B1461" t="s">
        <v>65</v>
      </c>
      <c r="C1461" t="s">
        <v>743</v>
      </c>
      <c r="D1461">
        <v>714120</v>
      </c>
      <c r="E1461" t="s">
        <v>10</v>
      </c>
      <c r="F1461">
        <v>46.459699999999998</v>
      </c>
      <c r="G1461">
        <v>-61.9878</v>
      </c>
      <c r="H1461">
        <v>-4</v>
      </c>
      <c r="I1461">
        <v>7.7</v>
      </c>
      <c r="J1461" t="str">
        <f>HYPERLINK("https://climate.onebuilding.org/WMO_Region_4_North_and_Central_America/CAN_Canada/PE_Prince_Edward_Island/CAN_PE_East.Point.714120_TMYx.2009-2023.zip")</f>
        <v>https://climate.onebuilding.org/WMO_Region_4_North_and_Central_America/CAN_Canada/PE_Prince_Edward_Island/CAN_PE_East.Point.714120_TMYx.2009-2023.zip</v>
      </c>
    </row>
    <row r="1462" spans="1:10" x14ac:dyDescent="0.25">
      <c r="A1462" t="s">
        <v>6</v>
      </c>
      <c r="B1462" t="s">
        <v>65</v>
      </c>
      <c r="C1462" t="s">
        <v>743</v>
      </c>
      <c r="D1462">
        <v>714120</v>
      </c>
      <c r="E1462" t="s">
        <v>10</v>
      </c>
      <c r="F1462">
        <v>46.459699999999998</v>
      </c>
      <c r="G1462">
        <v>-61.9878</v>
      </c>
      <c r="H1462">
        <v>-4</v>
      </c>
      <c r="I1462">
        <v>7.7</v>
      </c>
      <c r="J1462" t="str">
        <f>HYPERLINK("https://climate.onebuilding.org/WMO_Region_4_North_and_Central_America/CAN_Canada/PE_Prince_Edward_Island/CAN_PE_East.Point.714120_TMYx.zip")</f>
        <v>https://climate.onebuilding.org/WMO_Region_4_North_and_Central_America/CAN_Canada/PE_Prince_Edward_Island/CAN_PE_East.Point.714120_TMYx.zip</v>
      </c>
    </row>
    <row r="1463" spans="1:10" x14ac:dyDescent="0.25">
      <c r="A1463" t="s">
        <v>6</v>
      </c>
      <c r="B1463" t="s">
        <v>17</v>
      </c>
      <c r="C1463" t="s">
        <v>745</v>
      </c>
      <c r="D1463">
        <v>714130</v>
      </c>
      <c r="E1463" t="s">
        <v>746</v>
      </c>
      <c r="F1463">
        <v>51.815800000000003</v>
      </c>
      <c r="G1463">
        <v>-111.6825</v>
      </c>
      <c r="H1463">
        <v>-7</v>
      </c>
      <c r="I1463">
        <v>804</v>
      </c>
      <c r="J1463" t="str">
        <f>HYPERLINK("https://climate.onebuilding.org/WMO_Region_4_North_and_Central_America/CAN_Canada/AB_Alberta/CAN_AB_Spondin.AgCM.714130_TMYx.2004-2018.zip")</f>
        <v>https://climate.onebuilding.org/WMO_Region_4_North_and_Central_America/CAN_Canada/AB_Alberta/CAN_AB_Spondin.AgCM.714130_TMYx.2004-2018.zip</v>
      </c>
    </row>
    <row r="1464" spans="1:10" x14ac:dyDescent="0.25">
      <c r="A1464" t="s">
        <v>6</v>
      </c>
      <c r="B1464" t="s">
        <v>17</v>
      </c>
      <c r="C1464" t="s">
        <v>745</v>
      </c>
      <c r="D1464">
        <v>714130</v>
      </c>
      <c r="E1464" t="s">
        <v>10</v>
      </c>
      <c r="F1464">
        <v>51.816000000000003</v>
      </c>
      <c r="G1464">
        <v>-111.68300000000001</v>
      </c>
      <c r="H1464">
        <v>-7</v>
      </c>
      <c r="I1464">
        <v>804</v>
      </c>
      <c r="J1464" t="str">
        <f>HYPERLINK("https://climate.onebuilding.org/WMO_Region_4_North_and_Central_America/CAN_Canada/AB_Alberta/CAN_AB_Spondin.AgCM.714130_TMYx.2007-2021.zip")</f>
        <v>https://climate.onebuilding.org/WMO_Region_4_North_and_Central_America/CAN_Canada/AB_Alberta/CAN_AB_Spondin.AgCM.714130_TMYx.2007-2021.zip</v>
      </c>
    </row>
    <row r="1465" spans="1:10" x14ac:dyDescent="0.25">
      <c r="A1465" t="s">
        <v>6</v>
      </c>
      <c r="B1465" t="s">
        <v>17</v>
      </c>
      <c r="C1465" t="s">
        <v>745</v>
      </c>
      <c r="D1465">
        <v>714130</v>
      </c>
      <c r="E1465" t="s">
        <v>10</v>
      </c>
      <c r="F1465">
        <v>51.816000000000003</v>
      </c>
      <c r="G1465">
        <v>-111.68300000000001</v>
      </c>
      <c r="H1465">
        <v>-7</v>
      </c>
      <c r="I1465">
        <v>804</v>
      </c>
      <c r="J1465" t="str">
        <f>HYPERLINK("https://climate.onebuilding.org/WMO_Region_4_North_and_Central_America/CAN_Canada/AB_Alberta/CAN_AB_Spondin.AgCM.714130_TMYx.2009-2023.zip")</f>
        <v>https://climate.onebuilding.org/WMO_Region_4_North_and_Central_America/CAN_Canada/AB_Alberta/CAN_AB_Spondin.AgCM.714130_TMYx.2009-2023.zip</v>
      </c>
    </row>
    <row r="1466" spans="1:10" x14ac:dyDescent="0.25">
      <c r="A1466" t="s">
        <v>6</v>
      </c>
      <c r="B1466" t="s">
        <v>17</v>
      </c>
      <c r="C1466" t="s">
        <v>745</v>
      </c>
      <c r="D1466">
        <v>714130</v>
      </c>
      <c r="E1466" t="s">
        <v>10</v>
      </c>
      <c r="F1466">
        <v>51.816000000000003</v>
      </c>
      <c r="G1466">
        <v>-111.68300000000001</v>
      </c>
      <c r="H1466">
        <v>-7</v>
      </c>
      <c r="I1466">
        <v>804</v>
      </c>
      <c r="J1466" t="str">
        <f>HYPERLINK("https://climate.onebuilding.org/WMO_Region_4_North_and_Central_America/CAN_Canada/AB_Alberta/CAN_AB_Spondin.AgCM.714130_TMYx.zip")</f>
        <v>https://climate.onebuilding.org/WMO_Region_4_North_and_Central_America/CAN_Canada/AB_Alberta/CAN_AB_Spondin.AgCM.714130_TMYx.zip</v>
      </c>
    </row>
    <row r="1467" spans="1:10" x14ac:dyDescent="0.25">
      <c r="A1467" t="s">
        <v>6</v>
      </c>
      <c r="B1467" t="s">
        <v>17</v>
      </c>
      <c r="C1467" t="s">
        <v>747</v>
      </c>
      <c r="D1467">
        <v>714140</v>
      </c>
      <c r="E1467" t="s">
        <v>748</v>
      </c>
      <c r="F1467">
        <v>54.366900000000001</v>
      </c>
      <c r="G1467">
        <v>-110.8678</v>
      </c>
      <c r="H1467">
        <v>-7</v>
      </c>
      <c r="I1467">
        <v>556</v>
      </c>
      <c r="J1467" t="str">
        <f>HYPERLINK("https://climate.onebuilding.org/WMO_Region_4_North_and_Central_America/CAN_Canada/AB_Alberta/CAN_AB_Dupre.AgCM.714140_TMYx.2004-2018.zip")</f>
        <v>https://climate.onebuilding.org/WMO_Region_4_North_and_Central_America/CAN_Canada/AB_Alberta/CAN_AB_Dupre.AgCM.714140_TMYx.2004-2018.zip</v>
      </c>
    </row>
    <row r="1468" spans="1:10" x14ac:dyDescent="0.25">
      <c r="A1468" t="s">
        <v>6</v>
      </c>
      <c r="B1468" t="s">
        <v>17</v>
      </c>
      <c r="C1468" t="s">
        <v>747</v>
      </c>
      <c r="D1468">
        <v>714140</v>
      </c>
      <c r="E1468" t="s">
        <v>10</v>
      </c>
      <c r="F1468">
        <v>54.366900000000001</v>
      </c>
      <c r="G1468">
        <v>-110.8678</v>
      </c>
      <c r="H1468">
        <v>-7</v>
      </c>
      <c r="I1468">
        <v>556</v>
      </c>
      <c r="J1468" t="str">
        <f>HYPERLINK("https://climate.onebuilding.org/WMO_Region_4_North_and_Central_America/CAN_Canada/AB_Alberta/CAN_AB_Dupre.AgCM.714140_TMYx.2007-2021.zip")</f>
        <v>https://climate.onebuilding.org/WMO_Region_4_North_and_Central_America/CAN_Canada/AB_Alberta/CAN_AB_Dupre.AgCM.714140_TMYx.2007-2021.zip</v>
      </c>
    </row>
    <row r="1469" spans="1:10" x14ac:dyDescent="0.25">
      <c r="A1469" t="s">
        <v>6</v>
      </c>
      <c r="B1469" t="s">
        <v>17</v>
      </c>
      <c r="C1469" t="s">
        <v>747</v>
      </c>
      <c r="D1469">
        <v>714140</v>
      </c>
      <c r="E1469" t="s">
        <v>10</v>
      </c>
      <c r="F1469">
        <v>54.366900000000001</v>
      </c>
      <c r="G1469">
        <v>-110.8678</v>
      </c>
      <c r="H1469">
        <v>-7</v>
      </c>
      <c r="I1469">
        <v>556</v>
      </c>
      <c r="J1469" t="str">
        <f>HYPERLINK("https://climate.onebuilding.org/WMO_Region_4_North_and_Central_America/CAN_Canada/AB_Alberta/CAN_AB_Dupre.AgCM.714140_TMYx.2009-2023.zip")</f>
        <v>https://climate.onebuilding.org/WMO_Region_4_North_and_Central_America/CAN_Canada/AB_Alberta/CAN_AB_Dupre.AgCM.714140_TMYx.2009-2023.zip</v>
      </c>
    </row>
    <row r="1470" spans="1:10" x14ac:dyDescent="0.25">
      <c r="A1470" t="s">
        <v>6</v>
      </c>
      <c r="B1470" t="s">
        <v>17</v>
      </c>
      <c r="C1470" t="s">
        <v>747</v>
      </c>
      <c r="D1470">
        <v>714140</v>
      </c>
      <c r="E1470" t="s">
        <v>10</v>
      </c>
      <c r="F1470">
        <v>54.366900000000001</v>
      </c>
      <c r="G1470">
        <v>-110.8678</v>
      </c>
      <c r="H1470">
        <v>-7</v>
      </c>
      <c r="I1470">
        <v>556</v>
      </c>
      <c r="J1470" t="str">
        <f>HYPERLINK("https://climate.onebuilding.org/WMO_Region_4_North_and_Central_America/CAN_Canada/AB_Alberta/CAN_AB_Dupre.AgCM.714140_TMYx.zip")</f>
        <v>https://climate.onebuilding.org/WMO_Region_4_North_and_Central_America/CAN_Canada/AB_Alberta/CAN_AB_Dupre.AgCM.714140_TMYx.zip</v>
      </c>
    </row>
    <row r="1471" spans="1:10" x14ac:dyDescent="0.25">
      <c r="A1471" t="s">
        <v>6</v>
      </c>
      <c r="B1471" t="s">
        <v>68</v>
      </c>
      <c r="C1471" t="s">
        <v>749</v>
      </c>
      <c r="D1471">
        <v>714150</v>
      </c>
      <c r="E1471" t="s">
        <v>750</v>
      </c>
      <c r="F1471">
        <v>45.76417</v>
      </c>
      <c r="G1471">
        <v>-62.68056</v>
      </c>
      <c r="H1471">
        <v>-4</v>
      </c>
      <c r="I1471">
        <v>2.4</v>
      </c>
      <c r="J1471" t="str">
        <f>HYPERLINK("https://climate.onebuilding.org/WMO_Region_4_North_and_Central_America/CAN_Canada/NS_Nova_Scotia/CAN_NS_Caribou.Point.Lighthouse.714150_TMYx.2004-2018.zip")</f>
        <v>https://climate.onebuilding.org/WMO_Region_4_North_and_Central_America/CAN_Canada/NS_Nova_Scotia/CAN_NS_Caribou.Point.Lighthouse.714150_TMYx.2004-2018.zip</v>
      </c>
    </row>
    <row r="1472" spans="1:10" x14ac:dyDescent="0.25">
      <c r="A1472" t="s">
        <v>6</v>
      </c>
      <c r="B1472" t="s">
        <v>68</v>
      </c>
      <c r="C1472" t="s">
        <v>749</v>
      </c>
      <c r="D1472">
        <v>714150</v>
      </c>
      <c r="E1472" t="s">
        <v>10</v>
      </c>
      <c r="F1472">
        <v>45.76417</v>
      </c>
      <c r="G1472">
        <v>-62.68056</v>
      </c>
      <c r="H1472">
        <v>-4</v>
      </c>
      <c r="I1472">
        <v>2.4</v>
      </c>
      <c r="J1472" t="str">
        <f>HYPERLINK("https://climate.onebuilding.org/WMO_Region_4_North_and_Central_America/CAN_Canada/NS_Nova_Scotia/CAN_NS_Caribou.Point.Lighthouse.714150_TMYx.2007-2021.zip")</f>
        <v>https://climate.onebuilding.org/WMO_Region_4_North_and_Central_America/CAN_Canada/NS_Nova_Scotia/CAN_NS_Caribou.Point.Lighthouse.714150_TMYx.2007-2021.zip</v>
      </c>
    </row>
    <row r="1473" spans="1:10" x14ac:dyDescent="0.25">
      <c r="A1473" t="s">
        <v>6</v>
      </c>
      <c r="B1473" t="s">
        <v>68</v>
      </c>
      <c r="C1473" t="s">
        <v>749</v>
      </c>
      <c r="D1473">
        <v>714150</v>
      </c>
      <c r="E1473" t="s">
        <v>10</v>
      </c>
      <c r="F1473">
        <v>45.76417</v>
      </c>
      <c r="G1473">
        <v>-62.68056</v>
      </c>
      <c r="H1473">
        <v>-4</v>
      </c>
      <c r="I1473">
        <v>2.4</v>
      </c>
      <c r="J1473" t="str">
        <f>HYPERLINK("https://climate.onebuilding.org/WMO_Region_4_North_and_Central_America/CAN_Canada/NS_Nova_Scotia/CAN_NS_Caribou.Point.Lighthouse.714150_TMYx.2009-2023.zip")</f>
        <v>https://climate.onebuilding.org/WMO_Region_4_North_and_Central_America/CAN_Canada/NS_Nova_Scotia/CAN_NS_Caribou.Point.Lighthouse.714150_TMYx.2009-2023.zip</v>
      </c>
    </row>
    <row r="1474" spans="1:10" x14ac:dyDescent="0.25">
      <c r="A1474" t="s">
        <v>6</v>
      </c>
      <c r="B1474" t="s">
        <v>68</v>
      </c>
      <c r="C1474" t="s">
        <v>749</v>
      </c>
      <c r="D1474">
        <v>714150</v>
      </c>
      <c r="E1474" t="s">
        <v>10</v>
      </c>
      <c r="F1474">
        <v>45.76417</v>
      </c>
      <c r="G1474">
        <v>-62.68056</v>
      </c>
      <c r="H1474">
        <v>-4</v>
      </c>
      <c r="I1474">
        <v>2.4</v>
      </c>
      <c r="J1474" t="str">
        <f>HYPERLINK("https://climate.onebuilding.org/WMO_Region_4_North_and_Central_America/CAN_Canada/NS_Nova_Scotia/CAN_NS_Caribou.Point.Lighthouse.714150_TMYx.zip")</f>
        <v>https://climate.onebuilding.org/WMO_Region_4_North_and_Central_America/CAN_Canada/NS_Nova_Scotia/CAN_NS_Caribou.Point.Lighthouse.714150_TMYx.zip</v>
      </c>
    </row>
    <row r="1475" spans="1:10" x14ac:dyDescent="0.25">
      <c r="A1475" t="s">
        <v>6</v>
      </c>
      <c r="B1475" t="s">
        <v>68</v>
      </c>
      <c r="C1475" t="s">
        <v>751</v>
      </c>
      <c r="D1475">
        <v>714160</v>
      </c>
      <c r="E1475" t="s">
        <v>10</v>
      </c>
      <c r="F1475">
        <v>45.716999999999999</v>
      </c>
      <c r="G1475">
        <v>-60.23</v>
      </c>
      <c r="H1475">
        <v>-4</v>
      </c>
      <c r="I1475">
        <v>10</v>
      </c>
      <c r="J1475" t="str">
        <f>HYPERLINK("https://climate.onebuilding.org/WMO_Region_4_North_and_Central_America/CAN_Canada/NS_Nova_Scotia/CAN_NS_Fourchu.Head.714160_TMYx.zip")</f>
        <v>https://climate.onebuilding.org/WMO_Region_4_North_and_Central_America/CAN_Canada/NS_Nova_Scotia/CAN_NS_Fourchu.Head.714160_TMYx.zip</v>
      </c>
    </row>
    <row r="1476" spans="1:10" x14ac:dyDescent="0.25">
      <c r="A1476" t="s">
        <v>6</v>
      </c>
      <c r="B1476" t="s">
        <v>11</v>
      </c>
      <c r="C1476" t="s">
        <v>752</v>
      </c>
      <c r="D1476">
        <v>714170</v>
      </c>
      <c r="E1476" t="s">
        <v>753</v>
      </c>
      <c r="F1476">
        <v>50.7211</v>
      </c>
      <c r="G1476">
        <v>-56.1128</v>
      </c>
      <c r="H1476">
        <v>-3.5</v>
      </c>
      <c r="I1476">
        <v>30.3</v>
      </c>
      <c r="J1476" t="str">
        <f>HYPERLINK("https://climate.onebuilding.org/WMO_Region_4_North_and_Central_America/CAN_Canada/NL_Newfoundland_and_Labrador/CAN_NL_Englee.714170_TMYx.2004-2018.zip")</f>
        <v>https://climate.onebuilding.org/WMO_Region_4_North_and_Central_America/CAN_Canada/NL_Newfoundland_and_Labrador/CAN_NL_Englee.714170_TMYx.2004-2018.zip</v>
      </c>
    </row>
    <row r="1477" spans="1:10" x14ac:dyDescent="0.25">
      <c r="A1477" t="s">
        <v>6</v>
      </c>
      <c r="B1477" t="s">
        <v>11</v>
      </c>
      <c r="C1477" t="s">
        <v>752</v>
      </c>
      <c r="D1477">
        <v>714170</v>
      </c>
      <c r="E1477" t="s">
        <v>10</v>
      </c>
      <c r="F1477">
        <v>50.720999999999997</v>
      </c>
      <c r="G1477">
        <v>-56.113</v>
      </c>
      <c r="H1477">
        <v>-3.5</v>
      </c>
      <c r="I1477">
        <v>30.3</v>
      </c>
      <c r="J1477" t="str">
        <f>HYPERLINK("https://climate.onebuilding.org/WMO_Region_4_North_and_Central_America/CAN_Canada/NL_Newfoundland_and_Labrador/CAN_NL_Englee.714170_TMYx.2007-2021.zip")</f>
        <v>https://climate.onebuilding.org/WMO_Region_4_North_and_Central_America/CAN_Canada/NL_Newfoundland_and_Labrador/CAN_NL_Englee.714170_TMYx.2007-2021.zip</v>
      </c>
    </row>
    <row r="1478" spans="1:10" x14ac:dyDescent="0.25">
      <c r="A1478" t="s">
        <v>6</v>
      </c>
      <c r="B1478" t="s">
        <v>11</v>
      </c>
      <c r="C1478" t="s">
        <v>752</v>
      </c>
      <c r="D1478">
        <v>714170</v>
      </c>
      <c r="E1478" t="s">
        <v>10</v>
      </c>
      <c r="F1478">
        <v>50.720999999999997</v>
      </c>
      <c r="G1478">
        <v>-56.113</v>
      </c>
      <c r="H1478">
        <v>-3.5</v>
      </c>
      <c r="I1478">
        <v>30.3</v>
      </c>
      <c r="J1478" t="str">
        <f>HYPERLINK("https://climate.onebuilding.org/WMO_Region_4_North_and_Central_America/CAN_Canada/NL_Newfoundland_and_Labrador/CAN_NL_Englee.714170_TMYx.2009-2023.zip")</f>
        <v>https://climate.onebuilding.org/WMO_Region_4_North_and_Central_America/CAN_Canada/NL_Newfoundland_and_Labrador/CAN_NL_Englee.714170_TMYx.2009-2023.zip</v>
      </c>
    </row>
    <row r="1479" spans="1:10" x14ac:dyDescent="0.25">
      <c r="A1479" t="s">
        <v>6</v>
      </c>
      <c r="B1479" t="s">
        <v>11</v>
      </c>
      <c r="C1479" t="s">
        <v>752</v>
      </c>
      <c r="D1479">
        <v>714170</v>
      </c>
      <c r="E1479" t="s">
        <v>10</v>
      </c>
      <c r="F1479">
        <v>50.720999999999997</v>
      </c>
      <c r="G1479">
        <v>-56.113</v>
      </c>
      <c r="H1479">
        <v>-3.5</v>
      </c>
      <c r="I1479">
        <v>30.3</v>
      </c>
      <c r="J1479" t="str">
        <f>HYPERLINK("https://climate.onebuilding.org/WMO_Region_4_North_and_Central_America/CAN_Canada/NL_Newfoundland_and_Labrador/CAN_NL_Englee.714170_TMYx.zip")</f>
        <v>https://climate.onebuilding.org/WMO_Region_4_North_and_Central_America/CAN_Canada/NL_Newfoundland_and_Labrador/CAN_NL_Englee.714170_TMYx.zip</v>
      </c>
    </row>
    <row r="1480" spans="1:10" x14ac:dyDescent="0.25">
      <c r="A1480" t="s">
        <v>6</v>
      </c>
      <c r="B1480" t="s">
        <v>68</v>
      </c>
      <c r="C1480" t="s">
        <v>754</v>
      </c>
      <c r="D1480">
        <v>714180</v>
      </c>
      <c r="E1480" t="s">
        <v>755</v>
      </c>
      <c r="F1480">
        <v>47.221400000000003</v>
      </c>
      <c r="G1480">
        <v>-60.140900000000002</v>
      </c>
      <c r="H1480">
        <v>-4</v>
      </c>
      <c r="I1480">
        <v>27</v>
      </c>
      <c r="J1480" t="str">
        <f>HYPERLINK("https://climate.onebuilding.org/WMO_Region_4_North_and_Central_America/CAN_Canada/NS_Nova_Scotia/CAN_NS_St.Paul.Island.714180_TMYx.2004-2018.zip")</f>
        <v>https://climate.onebuilding.org/WMO_Region_4_North_and_Central_America/CAN_Canada/NS_Nova_Scotia/CAN_NS_St.Paul.Island.714180_TMYx.2004-2018.zip</v>
      </c>
    </row>
    <row r="1481" spans="1:10" x14ac:dyDescent="0.25">
      <c r="A1481" t="s">
        <v>6</v>
      </c>
      <c r="B1481" t="s">
        <v>68</v>
      </c>
      <c r="C1481" t="s">
        <v>754</v>
      </c>
      <c r="D1481">
        <v>714180</v>
      </c>
      <c r="E1481" t="s">
        <v>10</v>
      </c>
      <c r="F1481">
        <v>47.225999999999999</v>
      </c>
      <c r="G1481">
        <v>-60.14</v>
      </c>
      <c r="H1481">
        <v>-4</v>
      </c>
      <c r="I1481">
        <v>27</v>
      </c>
      <c r="J1481" t="str">
        <f>HYPERLINK("https://climate.onebuilding.org/WMO_Region_4_North_and_Central_America/CAN_Canada/NS_Nova_Scotia/CAN_NS_St.Paul.Island.714180_TMYx.2007-2021.zip")</f>
        <v>https://climate.onebuilding.org/WMO_Region_4_North_and_Central_America/CAN_Canada/NS_Nova_Scotia/CAN_NS_St.Paul.Island.714180_TMYx.2007-2021.zip</v>
      </c>
    </row>
    <row r="1482" spans="1:10" x14ac:dyDescent="0.25">
      <c r="A1482" t="s">
        <v>6</v>
      </c>
      <c r="B1482" t="s">
        <v>68</v>
      </c>
      <c r="C1482" t="s">
        <v>754</v>
      </c>
      <c r="D1482">
        <v>714180</v>
      </c>
      <c r="E1482" t="s">
        <v>10</v>
      </c>
      <c r="F1482">
        <v>47.225999999999999</v>
      </c>
      <c r="G1482">
        <v>-60.14</v>
      </c>
      <c r="H1482">
        <v>-4</v>
      </c>
      <c r="I1482">
        <v>27</v>
      </c>
      <c r="J1482" t="str">
        <f>HYPERLINK("https://climate.onebuilding.org/WMO_Region_4_North_and_Central_America/CAN_Canada/NS_Nova_Scotia/CAN_NS_St.Paul.Island.714180_TMYx.2009-2023.zip")</f>
        <v>https://climate.onebuilding.org/WMO_Region_4_North_and_Central_America/CAN_Canada/NS_Nova_Scotia/CAN_NS_St.Paul.Island.714180_TMYx.2009-2023.zip</v>
      </c>
    </row>
    <row r="1483" spans="1:10" x14ac:dyDescent="0.25">
      <c r="A1483" t="s">
        <v>6</v>
      </c>
      <c r="B1483" t="s">
        <v>68</v>
      </c>
      <c r="C1483" t="s">
        <v>754</v>
      </c>
      <c r="D1483">
        <v>714180</v>
      </c>
      <c r="E1483" t="s">
        <v>10</v>
      </c>
      <c r="F1483">
        <v>47.225999999999999</v>
      </c>
      <c r="G1483">
        <v>-60.14</v>
      </c>
      <c r="H1483">
        <v>-4</v>
      </c>
      <c r="I1483">
        <v>27</v>
      </c>
      <c r="J1483" t="str">
        <f>HYPERLINK("https://climate.onebuilding.org/WMO_Region_4_North_and_Central_America/CAN_Canada/NS_Nova_Scotia/CAN_NS_St.Paul.Island.714180_TMYx.zip")</f>
        <v>https://climate.onebuilding.org/WMO_Region_4_North_and_Central_America/CAN_Canada/NS_Nova_Scotia/CAN_NS_St.Paul.Island.714180_TMYx.zip</v>
      </c>
    </row>
    <row r="1484" spans="1:10" x14ac:dyDescent="0.25">
      <c r="A1484" t="s">
        <v>6</v>
      </c>
      <c r="B1484" t="s">
        <v>68</v>
      </c>
      <c r="C1484" t="s">
        <v>756</v>
      </c>
      <c r="D1484">
        <v>714190</v>
      </c>
      <c r="E1484" t="s">
        <v>757</v>
      </c>
      <c r="F1484">
        <v>45.35</v>
      </c>
      <c r="G1484">
        <v>-60.9833</v>
      </c>
      <c r="H1484">
        <v>-4</v>
      </c>
      <c r="I1484">
        <v>8.1999999999999993</v>
      </c>
      <c r="J1484" t="str">
        <f>HYPERLINK("https://climate.onebuilding.org/WMO_Region_4_North_and_Central_America/CAN_Canada/NS_Nova_Scotia/CAN_NS_Hart.Island.714190_TMYx.2004-2018.zip")</f>
        <v>https://climate.onebuilding.org/WMO_Region_4_North_and_Central_America/CAN_Canada/NS_Nova_Scotia/CAN_NS_Hart.Island.714190_TMYx.2004-2018.zip</v>
      </c>
    </row>
    <row r="1485" spans="1:10" x14ac:dyDescent="0.25">
      <c r="A1485" t="s">
        <v>6</v>
      </c>
      <c r="B1485" t="s">
        <v>68</v>
      </c>
      <c r="C1485" t="s">
        <v>756</v>
      </c>
      <c r="D1485">
        <v>714190</v>
      </c>
      <c r="E1485" t="s">
        <v>10</v>
      </c>
      <c r="F1485">
        <v>45.344000000000001</v>
      </c>
      <c r="G1485">
        <v>-60.99</v>
      </c>
      <c r="H1485">
        <v>-4</v>
      </c>
      <c r="I1485">
        <v>8.1999999999999993</v>
      </c>
      <c r="J1485" t="str">
        <f>HYPERLINK("https://climate.onebuilding.org/WMO_Region_4_North_and_Central_America/CAN_Canada/NS_Nova_Scotia/CAN_NS_Hart.Island.714190_TMYx.2007-2021.zip")</f>
        <v>https://climate.onebuilding.org/WMO_Region_4_North_and_Central_America/CAN_Canada/NS_Nova_Scotia/CAN_NS_Hart.Island.714190_TMYx.2007-2021.zip</v>
      </c>
    </row>
    <row r="1486" spans="1:10" x14ac:dyDescent="0.25">
      <c r="A1486" t="s">
        <v>6</v>
      </c>
      <c r="B1486" t="s">
        <v>68</v>
      </c>
      <c r="C1486" t="s">
        <v>756</v>
      </c>
      <c r="D1486">
        <v>714190</v>
      </c>
      <c r="E1486" t="s">
        <v>10</v>
      </c>
      <c r="F1486">
        <v>45.344000000000001</v>
      </c>
      <c r="G1486">
        <v>-60.99</v>
      </c>
      <c r="H1486">
        <v>-4</v>
      </c>
      <c r="I1486">
        <v>8.1999999999999993</v>
      </c>
      <c r="J1486" t="str">
        <f>HYPERLINK("https://climate.onebuilding.org/WMO_Region_4_North_and_Central_America/CAN_Canada/NS_Nova_Scotia/CAN_NS_Hart.Island.714190_TMYx.2009-2023.zip")</f>
        <v>https://climate.onebuilding.org/WMO_Region_4_North_and_Central_America/CAN_Canada/NS_Nova_Scotia/CAN_NS_Hart.Island.714190_TMYx.2009-2023.zip</v>
      </c>
    </row>
    <row r="1487" spans="1:10" x14ac:dyDescent="0.25">
      <c r="A1487" t="s">
        <v>6</v>
      </c>
      <c r="B1487" t="s">
        <v>68</v>
      </c>
      <c r="C1487" t="s">
        <v>756</v>
      </c>
      <c r="D1487">
        <v>714190</v>
      </c>
      <c r="E1487" t="s">
        <v>10</v>
      </c>
      <c r="F1487">
        <v>45.344000000000001</v>
      </c>
      <c r="G1487">
        <v>-60.99</v>
      </c>
      <c r="H1487">
        <v>-4</v>
      </c>
      <c r="I1487">
        <v>8.1999999999999993</v>
      </c>
      <c r="J1487" t="str">
        <f>HYPERLINK("https://climate.onebuilding.org/WMO_Region_4_North_and_Central_America/CAN_Canada/NS_Nova_Scotia/CAN_NS_Hart.Island.714190_TMYx.zip")</f>
        <v>https://climate.onebuilding.org/WMO_Region_4_North_and_Central_America/CAN_Canada/NS_Nova_Scotia/CAN_NS_Hart.Island.714190_TMYx.zip</v>
      </c>
    </row>
    <row r="1488" spans="1:10" x14ac:dyDescent="0.25">
      <c r="A1488" t="s">
        <v>6</v>
      </c>
      <c r="B1488" t="s">
        <v>14</v>
      </c>
      <c r="C1488" t="s">
        <v>758</v>
      </c>
      <c r="D1488">
        <v>714210</v>
      </c>
      <c r="E1488" t="s">
        <v>759</v>
      </c>
      <c r="F1488">
        <v>51.866999999999997</v>
      </c>
      <c r="G1488">
        <v>-63.283000000000001</v>
      </c>
      <c r="H1488">
        <v>-5</v>
      </c>
      <c r="I1488">
        <v>562</v>
      </c>
      <c r="J1488" t="str">
        <f>HYPERLINK("https://climate.onebuilding.org/WMO_Region_4_North_and_Central_America/CAN_Canada/QC_Quebec/CAN_QC_Lac.Eon.714210_TMYx.2004-2018.zip")</f>
        <v>https://climate.onebuilding.org/WMO_Region_4_North_and_Central_America/CAN_Canada/QC_Quebec/CAN_QC_Lac.Eon.714210_TMYx.2004-2018.zip</v>
      </c>
    </row>
    <row r="1489" spans="1:10" x14ac:dyDescent="0.25">
      <c r="A1489" t="s">
        <v>6</v>
      </c>
      <c r="B1489" t="s">
        <v>14</v>
      </c>
      <c r="C1489" t="s">
        <v>758</v>
      </c>
      <c r="D1489">
        <v>714210</v>
      </c>
      <c r="E1489" t="s">
        <v>10</v>
      </c>
      <c r="F1489">
        <v>51.866999999999997</v>
      </c>
      <c r="G1489">
        <v>-63.283000000000001</v>
      </c>
      <c r="H1489">
        <v>-5</v>
      </c>
      <c r="I1489">
        <v>562</v>
      </c>
      <c r="J1489" t="str">
        <f>HYPERLINK("https://climate.onebuilding.org/WMO_Region_4_North_and_Central_America/CAN_Canada/QC_Quebec/CAN_QC_Lac.Eon.714210_TMYx.2007-2021.zip")</f>
        <v>https://climate.onebuilding.org/WMO_Region_4_North_and_Central_America/CAN_Canada/QC_Quebec/CAN_QC_Lac.Eon.714210_TMYx.2007-2021.zip</v>
      </c>
    </row>
    <row r="1490" spans="1:10" x14ac:dyDescent="0.25">
      <c r="A1490" t="s">
        <v>6</v>
      </c>
      <c r="B1490" t="s">
        <v>14</v>
      </c>
      <c r="C1490" t="s">
        <v>758</v>
      </c>
      <c r="D1490">
        <v>714210</v>
      </c>
      <c r="E1490" t="s">
        <v>10</v>
      </c>
      <c r="F1490">
        <v>51.866999999999997</v>
      </c>
      <c r="G1490">
        <v>-63.283000000000001</v>
      </c>
      <c r="H1490">
        <v>-5</v>
      </c>
      <c r="I1490">
        <v>562</v>
      </c>
      <c r="J1490" t="str">
        <f>HYPERLINK("https://climate.onebuilding.org/WMO_Region_4_North_and_Central_America/CAN_Canada/QC_Quebec/CAN_QC_Lac.Eon.714210_TMYx.2009-2023.zip")</f>
        <v>https://climate.onebuilding.org/WMO_Region_4_North_and_Central_America/CAN_Canada/QC_Quebec/CAN_QC_Lac.Eon.714210_TMYx.2009-2023.zip</v>
      </c>
    </row>
    <row r="1491" spans="1:10" x14ac:dyDescent="0.25">
      <c r="A1491" t="s">
        <v>6</v>
      </c>
      <c r="B1491" t="s">
        <v>14</v>
      </c>
      <c r="C1491" t="s">
        <v>758</v>
      </c>
      <c r="D1491">
        <v>714210</v>
      </c>
      <c r="E1491" t="s">
        <v>10</v>
      </c>
      <c r="F1491">
        <v>51.866999999999997</v>
      </c>
      <c r="G1491">
        <v>-63.283000000000001</v>
      </c>
      <c r="H1491">
        <v>-5</v>
      </c>
      <c r="I1491">
        <v>562</v>
      </c>
      <c r="J1491" t="str">
        <f>HYPERLINK("https://climate.onebuilding.org/WMO_Region_4_North_and_Central_America/CAN_Canada/QC_Quebec/CAN_QC_Lac.Eon.714210_TMYx.zip")</f>
        <v>https://climate.onebuilding.org/WMO_Region_4_North_and_Central_America/CAN_Canada/QC_Quebec/CAN_QC_Lac.Eon.714210_TMYx.zip</v>
      </c>
    </row>
    <row r="1492" spans="1:10" x14ac:dyDescent="0.25">
      <c r="A1492" t="s">
        <v>6</v>
      </c>
      <c r="B1492" t="s">
        <v>14</v>
      </c>
      <c r="C1492" t="s">
        <v>760</v>
      </c>
      <c r="D1492">
        <v>714220</v>
      </c>
      <c r="E1492" t="s">
        <v>10</v>
      </c>
      <c r="F1492">
        <v>45.15</v>
      </c>
      <c r="G1492">
        <v>-72.582999999999998</v>
      </c>
      <c r="H1492">
        <v>-5</v>
      </c>
      <c r="I1492">
        <v>237</v>
      </c>
      <c r="J1492" t="str">
        <f>HYPERLINK("https://climate.onebuilding.org/WMO_Region_4_North_and_Central_America/CAN_Canada/QC_Quebec/CAN_QC_Sutton.Junction.714220_TMYx.zip")</f>
        <v>https://climate.onebuilding.org/WMO_Region_4_North_and_Central_America/CAN_Canada/QC_Quebec/CAN_QC_Sutton.Junction.714220_TMYx.zip</v>
      </c>
    </row>
    <row r="1493" spans="1:10" x14ac:dyDescent="0.25">
      <c r="A1493" t="s">
        <v>6</v>
      </c>
      <c r="B1493" t="s">
        <v>14</v>
      </c>
      <c r="C1493" t="s">
        <v>761</v>
      </c>
      <c r="D1493">
        <v>714230</v>
      </c>
      <c r="E1493" t="s">
        <v>762</v>
      </c>
      <c r="F1493">
        <v>49.085299999999997</v>
      </c>
      <c r="G1493">
        <v>-61.700600000000001</v>
      </c>
      <c r="H1493">
        <v>-5</v>
      </c>
      <c r="I1493">
        <v>7</v>
      </c>
      <c r="J1493" t="str">
        <f>HYPERLINK("https://climate.onebuilding.org/WMO_Region_4_North_and_Central_America/CAN_Canada/QC_Quebec/CAN_QC_Heath.Point.714230_TMYx.2004-2018.zip")</f>
        <v>https://climate.onebuilding.org/WMO_Region_4_North_and_Central_America/CAN_Canada/QC_Quebec/CAN_QC_Heath.Point.714230_TMYx.2004-2018.zip</v>
      </c>
    </row>
    <row r="1494" spans="1:10" x14ac:dyDescent="0.25">
      <c r="A1494" t="s">
        <v>6</v>
      </c>
      <c r="B1494" t="s">
        <v>14</v>
      </c>
      <c r="C1494" t="s">
        <v>761</v>
      </c>
      <c r="D1494">
        <v>714230</v>
      </c>
      <c r="E1494" t="s">
        <v>10</v>
      </c>
      <c r="F1494">
        <v>49.085299999999997</v>
      </c>
      <c r="G1494">
        <v>-61.700600000000001</v>
      </c>
      <c r="H1494">
        <v>-5</v>
      </c>
      <c r="I1494">
        <v>7</v>
      </c>
      <c r="J1494" t="str">
        <f>HYPERLINK("https://climate.onebuilding.org/WMO_Region_4_North_and_Central_America/CAN_Canada/QC_Quebec/CAN_QC_Heath.Point.714230_TMYx.2007-2021.zip")</f>
        <v>https://climate.onebuilding.org/WMO_Region_4_North_and_Central_America/CAN_Canada/QC_Quebec/CAN_QC_Heath.Point.714230_TMYx.2007-2021.zip</v>
      </c>
    </row>
    <row r="1495" spans="1:10" x14ac:dyDescent="0.25">
      <c r="A1495" t="s">
        <v>6</v>
      </c>
      <c r="B1495" t="s">
        <v>14</v>
      </c>
      <c r="C1495" t="s">
        <v>761</v>
      </c>
      <c r="D1495">
        <v>714230</v>
      </c>
      <c r="E1495" t="s">
        <v>10</v>
      </c>
      <c r="F1495">
        <v>49.085299999999997</v>
      </c>
      <c r="G1495">
        <v>-61.700600000000001</v>
      </c>
      <c r="H1495">
        <v>-5</v>
      </c>
      <c r="I1495">
        <v>7</v>
      </c>
      <c r="J1495" t="str">
        <f>HYPERLINK("https://climate.onebuilding.org/WMO_Region_4_North_and_Central_America/CAN_Canada/QC_Quebec/CAN_QC_Heath.Point.714230_TMYx.2009-2023.zip")</f>
        <v>https://climate.onebuilding.org/WMO_Region_4_North_and_Central_America/CAN_Canada/QC_Quebec/CAN_QC_Heath.Point.714230_TMYx.2009-2023.zip</v>
      </c>
    </row>
    <row r="1496" spans="1:10" x14ac:dyDescent="0.25">
      <c r="A1496" t="s">
        <v>6</v>
      </c>
      <c r="B1496" t="s">
        <v>14</v>
      </c>
      <c r="C1496" t="s">
        <v>761</v>
      </c>
      <c r="D1496">
        <v>714230</v>
      </c>
      <c r="E1496" t="s">
        <v>10</v>
      </c>
      <c r="F1496">
        <v>49.085299999999997</v>
      </c>
      <c r="G1496">
        <v>-61.700600000000001</v>
      </c>
      <c r="H1496">
        <v>-5</v>
      </c>
      <c r="I1496">
        <v>7</v>
      </c>
      <c r="J1496" t="str">
        <f>HYPERLINK("https://climate.onebuilding.org/WMO_Region_4_North_and_Central_America/CAN_Canada/QC_Quebec/CAN_QC_Heath.Point.714230_TMYx.zip")</f>
        <v>https://climate.onebuilding.org/WMO_Region_4_North_and_Central_America/CAN_Canada/QC_Quebec/CAN_QC_Heath.Point.714230_TMYx.zip</v>
      </c>
    </row>
    <row r="1497" spans="1:10" x14ac:dyDescent="0.25">
      <c r="A1497" t="s">
        <v>6</v>
      </c>
      <c r="B1497" t="s">
        <v>14</v>
      </c>
      <c r="C1497" t="s">
        <v>763</v>
      </c>
      <c r="D1497">
        <v>714240</v>
      </c>
      <c r="E1497" t="s">
        <v>10</v>
      </c>
      <c r="F1497">
        <v>46.996699999999997</v>
      </c>
      <c r="G1497">
        <v>-70.808300000000003</v>
      </c>
      <c r="H1497">
        <v>-5</v>
      </c>
      <c r="I1497">
        <v>3.6</v>
      </c>
      <c r="J1497" t="str">
        <f>HYPERLINK("https://climate.onebuilding.org/WMO_Region_4_North_and_Central_America/CAN_Canada/QC_Quebec/CAN_QC_Ile.d-Orleans.714240_TMYx.zip")</f>
        <v>https://climate.onebuilding.org/WMO_Region_4_North_and_Central_America/CAN_Canada/QC_Quebec/CAN_QC_Ile.d-Orleans.714240_TMYx.zip</v>
      </c>
    </row>
    <row r="1498" spans="1:10" x14ac:dyDescent="0.25">
      <c r="A1498" t="s">
        <v>6</v>
      </c>
      <c r="B1498" t="s">
        <v>14</v>
      </c>
      <c r="C1498" t="s">
        <v>764</v>
      </c>
      <c r="D1498">
        <v>714250</v>
      </c>
      <c r="E1498" t="s">
        <v>765</v>
      </c>
      <c r="F1498">
        <v>49.250799999999998</v>
      </c>
      <c r="G1498">
        <v>-65.324700000000007</v>
      </c>
      <c r="H1498">
        <v>-5</v>
      </c>
      <c r="I1498">
        <v>29</v>
      </c>
      <c r="J1498" t="str">
        <f>HYPERLINK("https://climate.onebuilding.org/WMO_Region_4_North_and_Central_America/CAN_Canada/QC_Quebec/CAN_QC_Cap.de.la.Madeleine.Lighthouse.714250_TMYx.2004-2018.zip")</f>
        <v>https://climate.onebuilding.org/WMO_Region_4_North_and_Central_America/CAN_Canada/QC_Quebec/CAN_QC_Cap.de.la.Madeleine.Lighthouse.714250_TMYx.2004-2018.zip</v>
      </c>
    </row>
    <row r="1499" spans="1:10" x14ac:dyDescent="0.25">
      <c r="A1499" t="s">
        <v>6</v>
      </c>
      <c r="B1499" t="s">
        <v>14</v>
      </c>
      <c r="C1499" t="s">
        <v>764</v>
      </c>
      <c r="D1499">
        <v>714250</v>
      </c>
      <c r="E1499" t="s">
        <v>10</v>
      </c>
      <c r="F1499">
        <v>49.250799999999998</v>
      </c>
      <c r="G1499">
        <v>-65.324700000000007</v>
      </c>
      <c r="H1499">
        <v>-5</v>
      </c>
      <c r="I1499">
        <v>29</v>
      </c>
      <c r="J1499" t="str">
        <f>HYPERLINK("https://climate.onebuilding.org/WMO_Region_4_North_and_Central_America/CAN_Canada/QC_Quebec/CAN_QC_Cap.de.la.Madeleine.Lighthouse.714250_TMYx.2007-2021.zip")</f>
        <v>https://climate.onebuilding.org/WMO_Region_4_North_and_Central_America/CAN_Canada/QC_Quebec/CAN_QC_Cap.de.la.Madeleine.Lighthouse.714250_TMYx.2007-2021.zip</v>
      </c>
    </row>
    <row r="1500" spans="1:10" x14ac:dyDescent="0.25">
      <c r="A1500" t="s">
        <v>6</v>
      </c>
      <c r="B1500" t="s">
        <v>14</v>
      </c>
      <c r="C1500" t="s">
        <v>764</v>
      </c>
      <c r="D1500">
        <v>714250</v>
      </c>
      <c r="E1500" t="s">
        <v>10</v>
      </c>
      <c r="F1500">
        <v>49.250799999999998</v>
      </c>
      <c r="G1500">
        <v>-65.324700000000007</v>
      </c>
      <c r="H1500">
        <v>-5</v>
      </c>
      <c r="I1500">
        <v>29</v>
      </c>
      <c r="J1500" t="str">
        <f>HYPERLINK("https://climate.onebuilding.org/WMO_Region_4_North_and_Central_America/CAN_Canada/QC_Quebec/CAN_QC_Cap.de.la.Madeleine.Lighthouse.714250_TMYx.2009-2023.zip")</f>
        <v>https://climate.onebuilding.org/WMO_Region_4_North_and_Central_America/CAN_Canada/QC_Quebec/CAN_QC_Cap.de.la.Madeleine.Lighthouse.714250_TMYx.2009-2023.zip</v>
      </c>
    </row>
    <row r="1501" spans="1:10" x14ac:dyDescent="0.25">
      <c r="A1501" t="s">
        <v>6</v>
      </c>
      <c r="B1501" t="s">
        <v>14</v>
      </c>
      <c r="C1501" t="s">
        <v>764</v>
      </c>
      <c r="D1501">
        <v>714250</v>
      </c>
      <c r="E1501" t="s">
        <v>10</v>
      </c>
      <c r="F1501">
        <v>49.250799999999998</v>
      </c>
      <c r="G1501">
        <v>-65.324700000000007</v>
      </c>
      <c r="H1501">
        <v>-5</v>
      </c>
      <c r="I1501">
        <v>29</v>
      </c>
      <c r="J1501" t="str">
        <f>HYPERLINK("https://climate.onebuilding.org/WMO_Region_4_North_and_Central_America/CAN_Canada/QC_Quebec/CAN_QC_Cap.de.la.Madeleine.Lighthouse.714250_TMYx.zip")</f>
        <v>https://climate.onebuilding.org/WMO_Region_4_North_and_Central_America/CAN_Canada/QC_Quebec/CAN_QC_Cap.de.la.Madeleine.Lighthouse.714250_TMYx.zip</v>
      </c>
    </row>
    <row r="1502" spans="1:10" x14ac:dyDescent="0.25">
      <c r="A1502" t="s">
        <v>6</v>
      </c>
      <c r="B1502" t="s">
        <v>14</v>
      </c>
      <c r="C1502" t="s">
        <v>766</v>
      </c>
      <c r="D1502">
        <v>714260</v>
      </c>
      <c r="E1502" t="s">
        <v>767</v>
      </c>
      <c r="F1502">
        <v>48.068899999999999</v>
      </c>
      <c r="G1502">
        <v>-69.555599999999998</v>
      </c>
      <c r="H1502">
        <v>-5</v>
      </c>
      <c r="I1502">
        <v>5.9</v>
      </c>
      <c r="J1502" t="str">
        <f>HYPERLINK("https://climate.onebuilding.org/WMO_Region_4_North_and_Central_America/CAN_Canada/QC_Quebec/CAN_QC_Ile.Rouge.Lighthouse.714260_TMYx.2004-2018.zip")</f>
        <v>https://climate.onebuilding.org/WMO_Region_4_North_and_Central_America/CAN_Canada/QC_Quebec/CAN_QC_Ile.Rouge.Lighthouse.714260_TMYx.2004-2018.zip</v>
      </c>
    </row>
    <row r="1503" spans="1:10" x14ac:dyDescent="0.25">
      <c r="A1503" t="s">
        <v>6</v>
      </c>
      <c r="B1503" t="s">
        <v>14</v>
      </c>
      <c r="C1503" t="s">
        <v>766</v>
      </c>
      <c r="D1503">
        <v>714260</v>
      </c>
      <c r="E1503" t="s">
        <v>10</v>
      </c>
      <c r="F1503">
        <v>48.068899999999999</v>
      </c>
      <c r="G1503">
        <v>-69.555599999999998</v>
      </c>
      <c r="H1503">
        <v>-5</v>
      </c>
      <c r="I1503">
        <v>5.9</v>
      </c>
      <c r="J1503" t="str">
        <f>HYPERLINK("https://climate.onebuilding.org/WMO_Region_4_North_and_Central_America/CAN_Canada/QC_Quebec/CAN_QC_Ile.Rouge.Lighthouse.714260_TMYx.2007-2021.zip")</f>
        <v>https://climate.onebuilding.org/WMO_Region_4_North_and_Central_America/CAN_Canada/QC_Quebec/CAN_QC_Ile.Rouge.Lighthouse.714260_TMYx.2007-2021.zip</v>
      </c>
    </row>
    <row r="1504" spans="1:10" x14ac:dyDescent="0.25">
      <c r="A1504" t="s">
        <v>6</v>
      </c>
      <c r="B1504" t="s">
        <v>14</v>
      </c>
      <c r="C1504" t="s">
        <v>766</v>
      </c>
      <c r="D1504">
        <v>714260</v>
      </c>
      <c r="E1504" t="s">
        <v>10</v>
      </c>
      <c r="F1504">
        <v>48.068899999999999</v>
      </c>
      <c r="G1504">
        <v>-69.555599999999998</v>
      </c>
      <c r="H1504">
        <v>-5</v>
      </c>
      <c r="I1504">
        <v>5.9</v>
      </c>
      <c r="J1504" t="str">
        <f>HYPERLINK("https://climate.onebuilding.org/WMO_Region_4_North_and_Central_America/CAN_Canada/QC_Quebec/CAN_QC_Ile.Rouge.Lighthouse.714260_TMYx.2009-2023.zip")</f>
        <v>https://climate.onebuilding.org/WMO_Region_4_North_and_Central_America/CAN_Canada/QC_Quebec/CAN_QC_Ile.Rouge.Lighthouse.714260_TMYx.2009-2023.zip</v>
      </c>
    </row>
    <row r="1505" spans="1:10" x14ac:dyDescent="0.25">
      <c r="A1505" t="s">
        <v>6</v>
      </c>
      <c r="B1505" t="s">
        <v>14</v>
      </c>
      <c r="C1505" t="s">
        <v>766</v>
      </c>
      <c r="D1505">
        <v>714260</v>
      </c>
      <c r="E1505" t="s">
        <v>10</v>
      </c>
      <c r="F1505">
        <v>48.068899999999999</v>
      </c>
      <c r="G1505">
        <v>-69.555599999999998</v>
      </c>
      <c r="H1505">
        <v>-5</v>
      </c>
      <c r="I1505">
        <v>5.9</v>
      </c>
      <c r="J1505" t="str">
        <f>HYPERLINK("https://climate.onebuilding.org/WMO_Region_4_North_and_Central_America/CAN_Canada/QC_Quebec/CAN_QC_Ile.Rouge.Lighthouse.714260_TMYx.zip")</f>
        <v>https://climate.onebuilding.org/WMO_Region_4_North_and_Central_America/CAN_Canada/QC_Quebec/CAN_QC_Ile.Rouge.Lighthouse.714260_TMYx.zip</v>
      </c>
    </row>
    <row r="1506" spans="1:10" x14ac:dyDescent="0.25">
      <c r="A1506" t="s">
        <v>6</v>
      </c>
      <c r="B1506" t="s">
        <v>14</v>
      </c>
      <c r="C1506" t="s">
        <v>768</v>
      </c>
      <c r="D1506">
        <v>714270</v>
      </c>
      <c r="E1506" t="s">
        <v>769</v>
      </c>
      <c r="F1506">
        <v>49.316699999999997</v>
      </c>
      <c r="G1506">
        <v>-67.381100000000004</v>
      </c>
      <c r="H1506">
        <v>-5</v>
      </c>
      <c r="I1506">
        <v>5.9</v>
      </c>
      <c r="J1506" t="str">
        <f>HYPERLINK("https://climate.onebuilding.org/WMO_Region_4_North_and_Central_America/CAN_Canada/QC_Quebec/CAN_QC_Pointe.des.Monts.714270_TMYx.2004-2018.zip")</f>
        <v>https://climate.onebuilding.org/WMO_Region_4_North_and_Central_America/CAN_Canada/QC_Quebec/CAN_QC_Pointe.des.Monts.714270_TMYx.2004-2018.zip</v>
      </c>
    </row>
    <row r="1507" spans="1:10" x14ac:dyDescent="0.25">
      <c r="A1507" t="s">
        <v>6</v>
      </c>
      <c r="B1507" t="s">
        <v>14</v>
      </c>
      <c r="C1507" t="s">
        <v>768</v>
      </c>
      <c r="D1507">
        <v>714270</v>
      </c>
      <c r="E1507" t="s">
        <v>10</v>
      </c>
      <c r="F1507">
        <v>49.316699999999997</v>
      </c>
      <c r="G1507">
        <v>-67.381100000000004</v>
      </c>
      <c r="H1507">
        <v>-5</v>
      </c>
      <c r="I1507">
        <v>5.9</v>
      </c>
      <c r="J1507" t="str">
        <f>HYPERLINK("https://climate.onebuilding.org/WMO_Region_4_North_and_Central_America/CAN_Canada/QC_Quebec/CAN_QC_Pointe.des.Monts.714270_TMYx.2007-2021.zip")</f>
        <v>https://climate.onebuilding.org/WMO_Region_4_North_and_Central_America/CAN_Canada/QC_Quebec/CAN_QC_Pointe.des.Monts.714270_TMYx.2007-2021.zip</v>
      </c>
    </row>
    <row r="1508" spans="1:10" x14ac:dyDescent="0.25">
      <c r="A1508" t="s">
        <v>6</v>
      </c>
      <c r="B1508" t="s">
        <v>14</v>
      </c>
      <c r="C1508" t="s">
        <v>768</v>
      </c>
      <c r="D1508">
        <v>714270</v>
      </c>
      <c r="E1508" t="s">
        <v>10</v>
      </c>
      <c r="F1508">
        <v>49.316699999999997</v>
      </c>
      <c r="G1508">
        <v>-67.381100000000004</v>
      </c>
      <c r="H1508">
        <v>-5</v>
      </c>
      <c r="I1508">
        <v>5.9</v>
      </c>
      <c r="J1508" t="str">
        <f>HYPERLINK("https://climate.onebuilding.org/WMO_Region_4_North_and_Central_America/CAN_Canada/QC_Quebec/CAN_QC_Pointe.des.Monts.714270_TMYx.2009-2023.zip")</f>
        <v>https://climate.onebuilding.org/WMO_Region_4_North_and_Central_America/CAN_Canada/QC_Quebec/CAN_QC_Pointe.des.Monts.714270_TMYx.2009-2023.zip</v>
      </c>
    </row>
    <row r="1509" spans="1:10" x14ac:dyDescent="0.25">
      <c r="A1509" t="s">
        <v>6</v>
      </c>
      <c r="B1509" t="s">
        <v>14</v>
      </c>
      <c r="C1509" t="s">
        <v>768</v>
      </c>
      <c r="D1509">
        <v>714270</v>
      </c>
      <c r="E1509" t="s">
        <v>10</v>
      </c>
      <c r="F1509">
        <v>49.316699999999997</v>
      </c>
      <c r="G1509">
        <v>-67.381100000000004</v>
      </c>
      <c r="H1509">
        <v>-5</v>
      </c>
      <c r="I1509">
        <v>5.9</v>
      </c>
      <c r="J1509" t="str">
        <f>HYPERLINK("https://climate.onebuilding.org/WMO_Region_4_North_and_Central_America/CAN_Canada/QC_Quebec/CAN_QC_Pointe.des.Monts.714270_TMYx.zip")</f>
        <v>https://climate.onebuilding.org/WMO_Region_4_North_and_Central_America/CAN_Canada/QC_Quebec/CAN_QC_Pointe.des.Monts.714270_TMYx.zip</v>
      </c>
    </row>
    <row r="1510" spans="1:10" x14ac:dyDescent="0.25">
      <c r="A1510" t="s">
        <v>6</v>
      </c>
      <c r="B1510" t="s">
        <v>14</v>
      </c>
      <c r="C1510" t="s">
        <v>770</v>
      </c>
      <c r="D1510">
        <v>714280</v>
      </c>
      <c r="E1510" t="s">
        <v>771</v>
      </c>
      <c r="F1510">
        <v>49.109200000000001</v>
      </c>
      <c r="G1510">
        <v>-66.654499999999999</v>
      </c>
      <c r="H1510">
        <v>-5</v>
      </c>
      <c r="I1510">
        <v>5</v>
      </c>
      <c r="J1510" t="str">
        <f>HYPERLINK("https://climate.onebuilding.org/WMO_Region_4_North_and_Central_America/CAN_Canada/QC_Quebec/CAN_QC_Cap.Chat.714280_TMYx.2004-2018.zip")</f>
        <v>https://climate.onebuilding.org/WMO_Region_4_North_and_Central_America/CAN_Canada/QC_Quebec/CAN_QC_Cap.Chat.714280_TMYx.2004-2018.zip</v>
      </c>
    </row>
    <row r="1511" spans="1:10" x14ac:dyDescent="0.25">
      <c r="A1511" t="s">
        <v>6</v>
      </c>
      <c r="B1511" t="s">
        <v>14</v>
      </c>
      <c r="C1511" t="s">
        <v>770</v>
      </c>
      <c r="D1511">
        <v>714280</v>
      </c>
      <c r="E1511" t="s">
        <v>10</v>
      </c>
      <c r="F1511">
        <v>49.109200000000001</v>
      </c>
      <c r="G1511">
        <v>-66.654399999999995</v>
      </c>
      <c r="H1511">
        <v>-5</v>
      </c>
      <c r="I1511">
        <v>5</v>
      </c>
      <c r="J1511" t="str">
        <f>HYPERLINK("https://climate.onebuilding.org/WMO_Region_4_North_and_Central_America/CAN_Canada/QC_Quebec/CAN_QC_Cap.Chat.714280_TMYx.2007-2021.zip")</f>
        <v>https://climate.onebuilding.org/WMO_Region_4_North_and_Central_America/CAN_Canada/QC_Quebec/CAN_QC_Cap.Chat.714280_TMYx.2007-2021.zip</v>
      </c>
    </row>
    <row r="1512" spans="1:10" x14ac:dyDescent="0.25">
      <c r="A1512" t="s">
        <v>6</v>
      </c>
      <c r="B1512" t="s">
        <v>14</v>
      </c>
      <c r="C1512" t="s">
        <v>770</v>
      </c>
      <c r="D1512">
        <v>714280</v>
      </c>
      <c r="E1512" t="s">
        <v>10</v>
      </c>
      <c r="F1512">
        <v>49.109200000000001</v>
      </c>
      <c r="G1512">
        <v>-66.654399999999995</v>
      </c>
      <c r="H1512">
        <v>-5</v>
      </c>
      <c r="I1512">
        <v>5</v>
      </c>
      <c r="J1512" t="str">
        <f>HYPERLINK("https://climate.onebuilding.org/WMO_Region_4_North_and_Central_America/CAN_Canada/QC_Quebec/CAN_QC_Cap.Chat.714280_TMYx.2009-2023.zip")</f>
        <v>https://climate.onebuilding.org/WMO_Region_4_North_and_Central_America/CAN_Canada/QC_Quebec/CAN_QC_Cap.Chat.714280_TMYx.2009-2023.zip</v>
      </c>
    </row>
    <row r="1513" spans="1:10" x14ac:dyDescent="0.25">
      <c r="A1513" t="s">
        <v>6</v>
      </c>
      <c r="B1513" t="s">
        <v>14</v>
      </c>
      <c r="C1513" t="s">
        <v>770</v>
      </c>
      <c r="D1513">
        <v>714280</v>
      </c>
      <c r="E1513" t="s">
        <v>10</v>
      </c>
      <c r="F1513">
        <v>49.109200000000001</v>
      </c>
      <c r="G1513">
        <v>-66.654399999999995</v>
      </c>
      <c r="H1513">
        <v>-5</v>
      </c>
      <c r="I1513">
        <v>5</v>
      </c>
      <c r="J1513" t="str">
        <f>HYPERLINK("https://climate.onebuilding.org/WMO_Region_4_North_and_Central_America/CAN_Canada/QC_Quebec/CAN_QC_Cap.Chat.714280_TMYx.zip")</f>
        <v>https://climate.onebuilding.org/WMO_Region_4_North_and_Central_America/CAN_Canada/QC_Quebec/CAN_QC_Cap.Chat.714280_TMYx.zip</v>
      </c>
    </row>
    <row r="1514" spans="1:10" x14ac:dyDescent="0.25">
      <c r="A1514" t="s">
        <v>6</v>
      </c>
      <c r="B1514" t="s">
        <v>14</v>
      </c>
      <c r="C1514" t="s">
        <v>772</v>
      </c>
      <c r="D1514">
        <v>714290</v>
      </c>
      <c r="E1514" t="s">
        <v>773</v>
      </c>
      <c r="F1514">
        <v>48.419499999999999</v>
      </c>
      <c r="G1514">
        <v>-64.316900000000004</v>
      </c>
      <c r="H1514">
        <v>-5</v>
      </c>
      <c r="I1514">
        <v>15.4</v>
      </c>
      <c r="J1514" t="str">
        <f>HYPERLINK("https://climate.onebuilding.org/WMO_Region_4_North_and_Central_America/CAN_Canada/QC_Quebec/CAN_QC_Cap.d-Espoir.714290_TMYx.2004-2018.zip")</f>
        <v>https://climate.onebuilding.org/WMO_Region_4_North_and_Central_America/CAN_Canada/QC_Quebec/CAN_QC_Cap.d-Espoir.714290_TMYx.2004-2018.zip</v>
      </c>
    </row>
    <row r="1515" spans="1:10" x14ac:dyDescent="0.25">
      <c r="A1515" t="s">
        <v>6</v>
      </c>
      <c r="B1515" t="s">
        <v>14</v>
      </c>
      <c r="C1515" t="s">
        <v>772</v>
      </c>
      <c r="D1515">
        <v>714290</v>
      </c>
      <c r="E1515" t="s">
        <v>10</v>
      </c>
      <c r="F1515">
        <v>48.419499999999999</v>
      </c>
      <c r="G1515">
        <v>-64.316900000000004</v>
      </c>
      <c r="H1515">
        <v>-5</v>
      </c>
      <c r="I1515">
        <v>15.4</v>
      </c>
      <c r="J1515" t="str">
        <f>HYPERLINK("https://climate.onebuilding.org/WMO_Region_4_North_and_Central_America/CAN_Canada/QC_Quebec/CAN_QC_Cap.d-Espoir.714290_TMYx.2007-2021.zip")</f>
        <v>https://climate.onebuilding.org/WMO_Region_4_North_and_Central_America/CAN_Canada/QC_Quebec/CAN_QC_Cap.d-Espoir.714290_TMYx.2007-2021.zip</v>
      </c>
    </row>
    <row r="1516" spans="1:10" x14ac:dyDescent="0.25">
      <c r="A1516" t="s">
        <v>6</v>
      </c>
      <c r="B1516" t="s">
        <v>14</v>
      </c>
      <c r="C1516" t="s">
        <v>772</v>
      </c>
      <c r="D1516">
        <v>714290</v>
      </c>
      <c r="E1516" t="s">
        <v>10</v>
      </c>
      <c r="F1516">
        <v>48.419499999999999</v>
      </c>
      <c r="G1516">
        <v>-64.316900000000004</v>
      </c>
      <c r="H1516">
        <v>-5</v>
      </c>
      <c r="I1516">
        <v>15.4</v>
      </c>
      <c r="J1516" t="str">
        <f>HYPERLINK("https://climate.onebuilding.org/WMO_Region_4_North_and_Central_America/CAN_Canada/QC_Quebec/CAN_QC_Cap.d-Espoir.714290_TMYx.2009-2023.zip")</f>
        <v>https://climate.onebuilding.org/WMO_Region_4_North_and_Central_America/CAN_Canada/QC_Quebec/CAN_QC_Cap.d-Espoir.714290_TMYx.2009-2023.zip</v>
      </c>
    </row>
    <row r="1517" spans="1:10" x14ac:dyDescent="0.25">
      <c r="A1517" t="s">
        <v>6</v>
      </c>
      <c r="B1517" t="s">
        <v>14</v>
      </c>
      <c r="C1517" t="s">
        <v>772</v>
      </c>
      <c r="D1517">
        <v>714290</v>
      </c>
      <c r="E1517" t="s">
        <v>10</v>
      </c>
      <c r="F1517">
        <v>48.419499999999999</v>
      </c>
      <c r="G1517">
        <v>-64.316900000000004</v>
      </c>
      <c r="H1517">
        <v>-5</v>
      </c>
      <c r="I1517">
        <v>15.4</v>
      </c>
      <c r="J1517" t="str">
        <f>HYPERLINK("https://climate.onebuilding.org/WMO_Region_4_North_and_Central_America/CAN_Canada/QC_Quebec/CAN_QC_Cap.d-Espoir.714290_TMYx.zip")</f>
        <v>https://climate.onebuilding.org/WMO_Region_4_North_and_Central_America/CAN_Canada/QC_Quebec/CAN_QC_Cap.d-Espoir.714290_TMYx.zip</v>
      </c>
    </row>
    <row r="1518" spans="1:10" x14ac:dyDescent="0.25">
      <c r="A1518" t="s">
        <v>6</v>
      </c>
      <c r="B1518" t="s">
        <v>130</v>
      </c>
      <c r="C1518" t="s">
        <v>774</v>
      </c>
      <c r="D1518">
        <v>714300</v>
      </c>
      <c r="E1518" t="s">
        <v>775</v>
      </c>
      <c r="F1518">
        <v>43.839500000000001</v>
      </c>
      <c r="G1518">
        <v>-77.153499999999994</v>
      </c>
      <c r="H1518">
        <v>-5</v>
      </c>
      <c r="I1518">
        <v>79</v>
      </c>
      <c r="J1518" t="str">
        <f>HYPERLINK("https://climate.onebuilding.org/WMO_Region_4_North_and_Central_America/CAN_Canada/ON_Ontario/CAN_ON_Point.Petre.Lighthouse.714300_TMYx.2004-2018.zip")</f>
        <v>https://climate.onebuilding.org/WMO_Region_4_North_and_Central_America/CAN_Canada/ON_Ontario/CAN_ON_Point.Petre.Lighthouse.714300_TMYx.2004-2018.zip</v>
      </c>
    </row>
    <row r="1519" spans="1:10" x14ac:dyDescent="0.25">
      <c r="A1519" t="s">
        <v>6</v>
      </c>
      <c r="B1519" t="s">
        <v>130</v>
      </c>
      <c r="C1519" t="s">
        <v>774</v>
      </c>
      <c r="D1519">
        <v>714300</v>
      </c>
      <c r="E1519" t="s">
        <v>10</v>
      </c>
      <c r="F1519">
        <v>43.839599999999997</v>
      </c>
      <c r="G1519">
        <v>-77.153000000000006</v>
      </c>
      <c r="H1519">
        <v>-5</v>
      </c>
      <c r="I1519">
        <v>79</v>
      </c>
      <c r="J1519" t="str">
        <f>HYPERLINK("https://climate.onebuilding.org/WMO_Region_4_North_and_Central_America/CAN_Canada/ON_Ontario/CAN_ON_Point.Petre.Lighthouse.714300_TMYx.2007-2021.zip")</f>
        <v>https://climate.onebuilding.org/WMO_Region_4_North_and_Central_America/CAN_Canada/ON_Ontario/CAN_ON_Point.Petre.Lighthouse.714300_TMYx.2007-2021.zip</v>
      </c>
    </row>
    <row r="1520" spans="1:10" x14ac:dyDescent="0.25">
      <c r="A1520" t="s">
        <v>6</v>
      </c>
      <c r="B1520" t="s">
        <v>130</v>
      </c>
      <c r="C1520" t="s">
        <v>774</v>
      </c>
      <c r="D1520">
        <v>714300</v>
      </c>
      <c r="E1520" t="s">
        <v>10</v>
      </c>
      <c r="F1520">
        <v>43.839599999999997</v>
      </c>
      <c r="G1520">
        <v>-77.153000000000006</v>
      </c>
      <c r="H1520">
        <v>-5</v>
      </c>
      <c r="I1520">
        <v>79</v>
      </c>
      <c r="J1520" t="str">
        <f>HYPERLINK("https://climate.onebuilding.org/WMO_Region_4_North_and_Central_America/CAN_Canada/ON_Ontario/CAN_ON_Point.Petre.Lighthouse.714300_TMYx.2009-2023.zip")</f>
        <v>https://climate.onebuilding.org/WMO_Region_4_North_and_Central_America/CAN_Canada/ON_Ontario/CAN_ON_Point.Petre.Lighthouse.714300_TMYx.2009-2023.zip</v>
      </c>
    </row>
    <row r="1521" spans="1:10" x14ac:dyDescent="0.25">
      <c r="A1521" t="s">
        <v>6</v>
      </c>
      <c r="B1521" t="s">
        <v>130</v>
      </c>
      <c r="C1521" t="s">
        <v>774</v>
      </c>
      <c r="D1521">
        <v>714300</v>
      </c>
      <c r="E1521" t="s">
        <v>10</v>
      </c>
      <c r="F1521">
        <v>43.839599999999997</v>
      </c>
      <c r="G1521">
        <v>-77.153000000000006</v>
      </c>
      <c r="H1521">
        <v>-5</v>
      </c>
      <c r="I1521">
        <v>79</v>
      </c>
      <c r="J1521" t="str">
        <f>HYPERLINK("https://climate.onebuilding.org/WMO_Region_4_North_and_Central_America/CAN_Canada/ON_Ontario/CAN_ON_Point.Petre.Lighthouse.714300_TMYx.zip")</f>
        <v>https://climate.onebuilding.org/WMO_Region_4_North_and_Central_America/CAN_Canada/ON_Ontario/CAN_ON_Point.Petre.Lighthouse.714300_TMYx.zip</v>
      </c>
    </row>
    <row r="1522" spans="1:10" x14ac:dyDescent="0.25">
      <c r="A1522" t="s">
        <v>6</v>
      </c>
      <c r="B1522" t="s">
        <v>130</v>
      </c>
      <c r="C1522" t="s">
        <v>776</v>
      </c>
      <c r="D1522">
        <v>714310</v>
      </c>
      <c r="E1522" t="s">
        <v>777</v>
      </c>
      <c r="F1522">
        <v>43.95</v>
      </c>
      <c r="G1522">
        <v>-78.166700000000006</v>
      </c>
      <c r="H1522">
        <v>-5</v>
      </c>
      <c r="I1522">
        <v>77.7</v>
      </c>
      <c r="J1522" t="str">
        <f>HYPERLINK("https://climate.onebuilding.org/WMO_Region_4_North_and_Central_America/CAN_Canada/ON_Ontario/CAN_ON_Cobourg.714310_TMYx.2004-2018.zip")</f>
        <v>https://climate.onebuilding.org/WMO_Region_4_North_and_Central_America/CAN_Canada/ON_Ontario/CAN_ON_Cobourg.714310_TMYx.2004-2018.zip</v>
      </c>
    </row>
    <row r="1523" spans="1:10" x14ac:dyDescent="0.25">
      <c r="A1523" t="s">
        <v>6</v>
      </c>
      <c r="B1523" t="s">
        <v>130</v>
      </c>
      <c r="C1523" t="s">
        <v>776</v>
      </c>
      <c r="D1523">
        <v>714310</v>
      </c>
      <c r="E1523" t="s">
        <v>10</v>
      </c>
      <c r="F1523">
        <v>43.956110000000002</v>
      </c>
      <c r="G1523">
        <v>-78.151120000000006</v>
      </c>
      <c r="H1523">
        <v>-5</v>
      </c>
      <c r="I1523">
        <v>77.7</v>
      </c>
      <c r="J1523" t="str">
        <f>HYPERLINK("https://climate.onebuilding.org/WMO_Region_4_North_and_Central_America/CAN_Canada/ON_Ontario/CAN_ON_Cobourg.714310_TMYx.2007-2021.zip")</f>
        <v>https://climate.onebuilding.org/WMO_Region_4_North_and_Central_America/CAN_Canada/ON_Ontario/CAN_ON_Cobourg.714310_TMYx.2007-2021.zip</v>
      </c>
    </row>
    <row r="1524" spans="1:10" x14ac:dyDescent="0.25">
      <c r="A1524" t="s">
        <v>6</v>
      </c>
      <c r="B1524" t="s">
        <v>130</v>
      </c>
      <c r="C1524" t="s">
        <v>776</v>
      </c>
      <c r="D1524">
        <v>714310</v>
      </c>
      <c r="E1524" t="s">
        <v>10</v>
      </c>
      <c r="F1524">
        <v>43.956110000000002</v>
      </c>
      <c r="G1524">
        <v>-78.151120000000006</v>
      </c>
      <c r="H1524">
        <v>-5</v>
      </c>
      <c r="I1524">
        <v>77.7</v>
      </c>
      <c r="J1524" t="str">
        <f>HYPERLINK("https://climate.onebuilding.org/WMO_Region_4_North_and_Central_America/CAN_Canada/ON_Ontario/CAN_ON_Cobourg.714310_TMYx.2009-2023.zip")</f>
        <v>https://climate.onebuilding.org/WMO_Region_4_North_and_Central_America/CAN_Canada/ON_Ontario/CAN_ON_Cobourg.714310_TMYx.2009-2023.zip</v>
      </c>
    </row>
    <row r="1525" spans="1:10" x14ac:dyDescent="0.25">
      <c r="A1525" t="s">
        <v>6</v>
      </c>
      <c r="B1525" t="s">
        <v>130</v>
      </c>
      <c r="C1525" t="s">
        <v>776</v>
      </c>
      <c r="D1525">
        <v>714310</v>
      </c>
      <c r="E1525" t="s">
        <v>10</v>
      </c>
      <c r="F1525">
        <v>43.956110000000002</v>
      </c>
      <c r="G1525">
        <v>-78.151120000000006</v>
      </c>
      <c r="H1525">
        <v>-5</v>
      </c>
      <c r="I1525">
        <v>77.7</v>
      </c>
      <c r="J1525" t="str">
        <f>HYPERLINK("https://climate.onebuilding.org/WMO_Region_4_North_and_Central_America/CAN_Canada/ON_Ontario/CAN_ON_Cobourg.714310_TMYx.zip")</f>
        <v>https://climate.onebuilding.org/WMO_Region_4_North_and_Central_America/CAN_Canada/ON_Ontario/CAN_ON_Cobourg.714310_TMYx.zip</v>
      </c>
    </row>
    <row r="1526" spans="1:10" x14ac:dyDescent="0.25">
      <c r="A1526" t="s">
        <v>6</v>
      </c>
      <c r="B1526" t="s">
        <v>130</v>
      </c>
      <c r="C1526" t="s">
        <v>778</v>
      </c>
      <c r="D1526">
        <v>714320</v>
      </c>
      <c r="E1526" t="s">
        <v>779</v>
      </c>
      <c r="F1526">
        <v>43.25</v>
      </c>
      <c r="G1526">
        <v>-79.216700000000003</v>
      </c>
      <c r="H1526">
        <v>-5</v>
      </c>
      <c r="I1526">
        <v>79</v>
      </c>
      <c r="J1526" t="str">
        <f>HYPERLINK("https://climate.onebuilding.org/WMO_Region_4_North_and_Central_America/CAN_Canada/ON_Ontario/CAN_ON_Port.Weller.714320_TMYx.2004-2018.zip")</f>
        <v>https://climate.onebuilding.org/WMO_Region_4_North_and_Central_America/CAN_Canada/ON_Ontario/CAN_ON_Port.Weller.714320_TMYx.2004-2018.zip</v>
      </c>
    </row>
    <row r="1527" spans="1:10" x14ac:dyDescent="0.25">
      <c r="A1527" t="s">
        <v>6</v>
      </c>
      <c r="B1527" t="s">
        <v>130</v>
      </c>
      <c r="C1527" t="s">
        <v>778</v>
      </c>
      <c r="D1527">
        <v>714320</v>
      </c>
      <c r="E1527" t="s">
        <v>10</v>
      </c>
      <c r="F1527">
        <v>43.244999999999997</v>
      </c>
      <c r="G1527">
        <v>-79.218000000000004</v>
      </c>
      <c r="H1527">
        <v>-5</v>
      </c>
      <c r="I1527">
        <v>79</v>
      </c>
      <c r="J1527" t="str">
        <f>HYPERLINK("https://climate.onebuilding.org/WMO_Region_4_North_and_Central_America/CAN_Canada/ON_Ontario/CAN_ON_Port.Weller.714320_TMYx.2007-2021.zip")</f>
        <v>https://climate.onebuilding.org/WMO_Region_4_North_and_Central_America/CAN_Canada/ON_Ontario/CAN_ON_Port.Weller.714320_TMYx.2007-2021.zip</v>
      </c>
    </row>
    <row r="1528" spans="1:10" x14ac:dyDescent="0.25">
      <c r="A1528" t="s">
        <v>6</v>
      </c>
      <c r="B1528" t="s">
        <v>130</v>
      </c>
      <c r="C1528" t="s">
        <v>778</v>
      </c>
      <c r="D1528">
        <v>714320</v>
      </c>
      <c r="E1528" t="s">
        <v>10</v>
      </c>
      <c r="F1528">
        <v>43.244999999999997</v>
      </c>
      <c r="G1528">
        <v>-79.218000000000004</v>
      </c>
      <c r="H1528">
        <v>-5</v>
      </c>
      <c r="I1528">
        <v>79</v>
      </c>
      <c r="J1528" t="str">
        <f>HYPERLINK("https://climate.onebuilding.org/WMO_Region_4_North_and_Central_America/CAN_Canada/ON_Ontario/CAN_ON_Port.Weller.714320_TMYx.2009-2023.zip")</f>
        <v>https://climate.onebuilding.org/WMO_Region_4_North_and_Central_America/CAN_Canada/ON_Ontario/CAN_ON_Port.Weller.714320_TMYx.2009-2023.zip</v>
      </c>
    </row>
    <row r="1529" spans="1:10" x14ac:dyDescent="0.25">
      <c r="A1529" t="s">
        <v>6</v>
      </c>
      <c r="B1529" t="s">
        <v>130</v>
      </c>
      <c r="C1529" t="s">
        <v>778</v>
      </c>
      <c r="D1529">
        <v>714320</v>
      </c>
      <c r="E1529" t="s">
        <v>10</v>
      </c>
      <c r="F1529">
        <v>43.244999999999997</v>
      </c>
      <c r="G1529">
        <v>-79.218000000000004</v>
      </c>
      <c r="H1529">
        <v>-5</v>
      </c>
      <c r="I1529">
        <v>79</v>
      </c>
      <c r="J1529" t="str">
        <f>HYPERLINK("https://climate.onebuilding.org/WMO_Region_4_North_and_Central_America/CAN_Canada/ON_Ontario/CAN_ON_Port.Weller.714320_TMYx.zip")</f>
        <v>https://climate.onebuilding.org/WMO_Region_4_North_and_Central_America/CAN_Canada/ON_Ontario/CAN_ON_Port.Weller.714320_TMYx.zip</v>
      </c>
    </row>
    <row r="1530" spans="1:10" x14ac:dyDescent="0.25">
      <c r="A1530" t="s">
        <v>6</v>
      </c>
      <c r="B1530" t="s">
        <v>130</v>
      </c>
      <c r="C1530" t="s">
        <v>780</v>
      </c>
      <c r="D1530">
        <v>714330</v>
      </c>
      <c r="E1530" t="s">
        <v>10</v>
      </c>
      <c r="F1530">
        <v>47.339440000000003</v>
      </c>
      <c r="G1530">
        <v>-85.82611</v>
      </c>
      <c r="H1530">
        <v>-5</v>
      </c>
      <c r="I1530">
        <v>189</v>
      </c>
      <c r="J1530" t="str">
        <f>HYPERLINK("https://climate.onebuilding.org/WMO_Region_4_North_and_Central_America/CAN_Canada/ON_Ontario/CAN_ON_Caribou.Island.Lighthouse.714330_TMYx.2007-2021.zip")</f>
        <v>https://climate.onebuilding.org/WMO_Region_4_North_and_Central_America/CAN_Canada/ON_Ontario/CAN_ON_Caribou.Island.Lighthouse.714330_TMYx.2007-2021.zip</v>
      </c>
    </row>
    <row r="1531" spans="1:10" x14ac:dyDescent="0.25">
      <c r="A1531" t="s">
        <v>6</v>
      </c>
      <c r="B1531" t="s">
        <v>130</v>
      </c>
      <c r="C1531" t="s">
        <v>780</v>
      </c>
      <c r="D1531">
        <v>714330</v>
      </c>
      <c r="E1531" t="s">
        <v>10</v>
      </c>
      <c r="F1531">
        <v>47.339440000000003</v>
      </c>
      <c r="G1531">
        <v>-85.82611</v>
      </c>
      <c r="H1531">
        <v>-5</v>
      </c>
      <c r="I1531">
        <v>189</v>
      </c>
      <c r="J1531" t="str">
        <f>HYPERLINK("https://climate.onebuilding.org/WMO_Region_4_North_and_Central_America/CAN_Canada/ON_Ontario/CAN_ON_Caribou.Island.Lighthouse.714330_TMYx.2009-2023.zip")</f>
        <v>https://climate.onebuilding.org/WMO_Region_4_North_and_Central_America/CAN_Canada/ON_Ontario/CAN_ON_Caribou.Island.Lighthouse.714330_TMYx.2009-2023.zip</v>
      </c>
    </row>
    <row r="1532" spans="1:10" x14ac:dyDescent="0.25">
      <c r="A1532" t="s">
        <v>6</v>
      </c>
      <c r="B1532" t="s">
        <v>130</v>
      </c>
      <c r="C1532" t="s">
        <v>780</v>
      </c>
      <c r="D1532">
        <v>714330</v>
      </c>
      <c r="E1532" t="s">
        <v>10</v>
      </c>
      <c r="F1532">
        <v>47.339440000000003</v>
      </c>
      <c r="G1532">
        <v>-85.82611</v>
      </c>
      <c r="H1532">
        <v>-5</v>
      </c>
      <c r="I1532">
        <v>189</v>
      </c>
      <c r="J1532" t="str">
        <f>HYPERLINK("https://climate.onebuilding.org/WMO_Region_4_North_and_Central_America/CAN_Canada/ON_Ontario/CAN_ON_Caribou.Island.Lighthouse.714330_TMYx.zip")</f>
        <v>https://climate.onebuilding.org/WMO_Region_4_North_and_Central_America/CAN_Canada/ON_Ontario/CAN_ON_Caribou.Island.Lighthouse.714330_TMYx.zip</v>
      </c>
    </row>
    <row r="1533" spans="1:10" x14ac:dyDescent="0.25">
      <c r="A1533" t="s">
        <v>6</v>
      </c>
      <c r="B1533" t="s">
        <v>130</v>
      </c>
      <c r="C1533" t="s">
        <v>781</v>
      </c>
      <c r="D1533">
        <v>714340</v>
      </c>
      <c r="E1533" t="s">
        <v>782</v>
      </c>
      <c r="F1533">
        <v>54.9833</v>
      </c>
      <c r="G1533">
        <v>-85.433300000000003</v>
      </c>
      <c r="H1533">
        <v>-5</v>
      </c>
      <c r="I1533">
        <v>53</v>
      </c>
      <c r="J1533" t="str">
        <f>HYPERLINK("https://climate.onebuilding.org/WMO_Region_4_North_and_Central_America/CAN_Canada/ON_Ontario/CAN_ON_Peawanuck.AP.714340_TMYx.2004-2018.zip")</f>
        <v>https://climate.onebuilding.org/WMO_Region_4_North_and_Central_America/CAN_Canada/ON_Ontario/CAN_ON_Peawanuck.AP.714340_TMYx.2004-2018.zip</v>
      </c>
    </row>
    <row r="1534" spans="1:10" x14ac:dyDescent="0.25">
      <c r="A1534" t="s">
        <v>6</v>
      </c>
      <c r="B1534" t="s">
        <v>130</v>
      </c>
      <c r="C1534" t="s">
        <v>781</v>
      </c>
      <c r="D1534">
        <v>714340</v>
      </c>
      <c r="E1534" t="s">
        <v>10</v>
      </c>
      <c r="F1534">
        <v>54.990279999999998</v>
      </c>
      <c r="G1534">
        <v>-85.440830000000005</v>
      </c>
      <c r="H1534">
        <v>-5</v>
      </c>
      <c r="I1534">
        <v>53</v>
      </c>
      <c r="J1534" t="str">
        <f>HYPERLINK("https://climate.onebuilding.org/WMO_Region_4_North_and_Central_America/CAN_Canada/ON_Ontario/CAN_ON_Peawanuck.AP.714340_TMYx.2007-2021.zip")</f>
        <v>https://climate.onebuilding.org/WMO_Region_4_North_and_Central_America/CAN_Canada/ON_Ontario/CAN_ON_Peawanuck.AP.714340_TMYx.2007-2021.zip</v>
      </c>
    </row>
    <row r="1535" spans="1:10" x14ac:dyDescent="0.25">
      <c r="A1535" t="s">
        <v>6</v>
      </c>
      <c r="B1535" t="s">
        <v>130</v>
      </c>
      <c r="C1535" t="s">
        <v>781</v>
      </c>
      <c r="D1535">
        <v>714340</v>
      </c>
      <c r="E1535" t="s">
        <v>10</v>
      </c>
      <c r="F1535">
        <v>54.990279999999998</v>
      </c>
      <c r="G1535">
        <v>-85.440830000000005</v>
      </c>
      <c r="H1535">
        <v>-5</v>
      </c>
      <c r="I1535">
        <v>53</v>
      </c>
      <c r="J1535" t="str">
        <f>HYPERLINK("https://climate.onebuilding.org/WMO_Region_4_North_and_Central_America/CAN_Canada/ON_Ontario/CAN_ON_Peawanuck.AP.714340_TMYx.2009-2023.zip")</f>
        <v>https://climate.onebuilding.org/WMO_Region_4_North_and_Central_America/CAN_Canada/ON_Ontario/CAN_ON_Peawanuck.AP.714340_TMYx.2009-2023.zip</v>
      </c>
    </row>
    <row r="1536" spans="1:10" x14ac:dyDescent="0.25">
      <c r="A1536" t="s">
        <v>6</v>
      </c>
      <c r="B1536" t="s">
        <v>130</v>
      </c>
      <c r="C1536" t="s">
        <v>781</v>
      </c>
      <c r="D1536">
        <v>714340</v>
      </c>
      <c r="E1536" t="s">
        <v>10</v>
      </c>
      <c r="F1536">
        <v>54.990279999999998</v>
      </c>
      <c r="G1536">
        <v>-85.440830000000005</v>
      </c>
      <c r="H1536">
        <v>-5</v>
      </c>
      <c r="I1536">
        <v>53</v>
      </c>
      <c r="J1536" t="str">
        <f>HYPERLINK("https://climate.onebuilding.org/WMO_Region_4_North_and_Central_America/CAN_Canada/ON_Ontario/CAN_ON_Peawanuck.AP.714340_TMYx.zip")</f>
        <v>https://climate.onebuilding.org/WMO_Region_4_North_and_Central_America/CAN_Canada/ON_Ontario/CAN_ON_Peawanuck.AP.714340_TMYx.zip</v>
      </c>
    </row>
    <row r="1537" spans="1:10" x14ac:dyDescent="0.25">
      <c r="A1537" t="s">
        <v>6</v>
      </c>
      <c r="B1537" t="s">
        <v>130</v>
      </c>
      <c r="C1537" t="s">
        <v>783</v>
      </c>
      <c r="D1537">
        <v>714350</v>
      </c>
      <c r="E1537" t="s">
        <v>784</v>
      </c>
      <c r="F1537">
        <v>49.033299999999997</v>
      </c>
      <c r="G1537">
        <v>-90.466700000000003</v>
      </c>
      <c r="H1537">
        <v>-5</v>
      </c>
      <c r="I1537">
        <v>488.5</v>
      </c>
      <c r="J1537" t="str">
        <f>HYPERLINK("https://climate.onebuilding.org/WMO_Region_4_North_and_Central_America/CAN_Canada/ON_Ontario/CAN_ON_Upsala.714350_TMYx.2004-2018.zip")</f>
        <v>https://climate.onebuilding.org/WMO_Region_4_North_and_Central_America/CAN_Canada/ON_Ontario/CAN_ON_Upsala.714350_TMYx.2004-2018.zip</v>
      </c>
    </row>
    <row r="1538" spans="1:10" x14ac:dyDescent="0.25">
      <c r="A1538" t="s">
        <v>6</v>
      </c>
      <c r="B1538" t="s">
        <v>130</v>
      </c>
      <c r="C1538" t="s">
        <v>783</v>
      </c>
      <c r="D1538">
        <v>714350</v>
      </c>
      <c r="E1538" t="s">
        <v>10</v>
      </c>
      <c r="F1538">
        <v>49.036099999999998</v>
      </c>
      <c r="G1538">
        <v>-90.461399999999998</v>
      </c>
      <c r="H1538">
        <v>-5</v>
      </c>
      <c r="I1538">
        <v>488.5</v>
      </c>
      <c r="J1538" t="str">
        <f>HYPERLINK("https://climate.onebuilding.org/WMO_Region_4_North_and_Central_America/CAN_Canada/ON_Ontario/CAN_ON_Upsala.714350_TMYx.2007-2021.zip")</f>
        <v>https://climate.onebuilding.org/WMO_Region_4_North_and_Central_America/CAN_Canada/ON_Ontario/CAN_ON_Upsala.714350_TMYx.2007-2021.zip</v>
      </c>
    </row>
    <row r="1539" spans="1:10" x14ac:dyDescent="0.25">
      <c r="A1539" t="s">
        <v>6</v>
      </c>
      <c r="B1539" t="s">
        <v>130</v>
      </c>
      <c r="C1539" t="s">
        <v>783</v>
      </c>
      <c r="D1539">
        <v>714350</v>
      </c>
      <c r="E1539" t="s">
        <v>10</v>
      </c>
      <c r="F1539">
        <v>49.036099999999998</v>
      </c>
      <c r="G1539">
        <v>-90.461399999999998</v>
      </c>
      <c r="H1539">
        <v>-5</v>
      </c>
      <c r="I1539">
        <v>488.5</v>
      </c>
      <c r="J1539" t="str">
        <f>HYPERLINK("https://climate.onebuilding.org/WMO_Region_4_North_and_Central_America/CAN_Canada/ON_Ontario/CAN_ON_Upsala.714350_TMYx.2009-2023.zip")</f>
        <v>https://climate.onebuilding.org/WMO_Region_4_North_and_Central_America/CAN_Canada/ON_Ontario/CAN_ON_Upsala.714350_TMYx.2009-2023.zip</v>
      </c>
    </row>
    <row r="1540" spans="1:10" x14ac:dyDescent="0.25">
      <c r="A1540" t="s">
        <v>6</v>
      </c>
      <c r="B1540" t="s">
        <v>130</v>
      </c>
      <c r="C1540" t="s">
        <v>783</v>
      </c>
      <c r="D1540">
        <v>714350</v>
      </c>
      <c r="E1540" t="s">
        <v>10</v>
      </c>
      <c r="F1540">
        <v>49.036099999999998</v>
      </c>
      <c r="G1540">
        <v>-90.461399999999998</v>
      </c>
      <c r="H1540">
        <v>-5</v>
      </c>
      <c r="I1540">
        <v>488.5</v>
      </c>
      <c r="J1540" t="str">
        <f>HYPERLINK("https://climate.onebuilding.org/WMO_Region_4_North_and_Central_America/CAN_Canada/ON_Ontario/CAN_ON_Upsala.714350_TMYx.zip")</f>
        <v>https://climate.onebuilding.org/WMO_Region_4_North_and_Central_America/CAN_Canada/ON_Ontario/CAN_ON_Upsala.714350_TMYx.zip</v>
      </c>
    </row>
    <row r="1541" spans="1:10" x14ac:dyDescent="0.25">
      <c r="A1541" t="s">
        <v>6</v>
      </c>
      <c r="B1541" t="s">
        <v>130</v>
      </c>
      <c r="C1541" t="s">
        <v>785</v>
      </c>
      <c r="D1541">
        <v>714360</v>
      </c>
      <c r="E1541" t="s">
        <v>786</v>
      </c>
      <c r="F1541">
        <v>44.23</v>
      </c>
      <c r="G1541">
        <v>-78.363299999999995</v>
      </c>
      <c r="H1541">
        <v>-5</v>
      </c>
      <c r="I1541">
        <v>191.4</v>
      </c>
      <c r="J1541" t="str">
        <f>HYPERLINK("https://climate.onebuilding.org/WMO_Region_4_North_and_Central_America/CAN_Canada/ON_Ontario/CAN_ON_Peterborough.Muni.AP.714360_TMYx.2004-2018.zip")</f>
        <v>https://climate.onebuilding.org/WMO_Region_4_North_and_Central_America/CAN_Canada/ON_Ontario/CAN_ON_Peterborough.Muni.AP.714360_TMYx.2004-2018.zip</v>
      </c>
    </row>
    <row r="1542" spans="1:10" x14ac:dyDescent="0.25">
      <c r="A1542" t="s">
        <v>6</v>
      </c>
      <c r="B1542" t="s">
        <v>130</v>
      </c>
      <c r="C1542" t="s">
        <v>785</v>
      </c>
      <c r="D1542">
        <v>714360</v>
      </c>
      <c r="E1542" t="s">
        <v>10</v>
      </c>
      <c r="F1542">
        <v>44.2303</v>
      </c>
      <c r="G1542">
        <v>-78.352599999999995</v>
      </c>
      <c r="H1542">
        <v>-5</v>
      </c>
      <c r="I1542">
        <v>191.4</v>
      </c>
      <c r="J1542" t="str">
        <f>HYPERLINK("https://climate.onebuilding.org/WMO_Region_4_North_and_Central_America/CAN_Canada/ON_Ontario/CAN_ON_Peterborough.Muni.AP.714360_TMYx.2007-2021.zip")</f>
        <v>https://climate.onebuilding.org/WMO_Region_4_North_and_Central_America/CAN_Canada/ON_Ontario/CAN_ON_Peterborough.Muni.AP.714360_TMYx.2007-2021.zip</v>
      </c>
    </row>
    <row r="1543" spans="1:10" x14ac:dyDescent="0.25">
      <c r="A1543" t="s">
        <v>6</v>
      </c>
      <c r="B1543" t="s">
        <v>130</v>
      </c>
      <c r="C1543" t="s">
        <v>785</v>
      </c>
      <c r="D1543">
        <v>714360</v>
      </c>
      <c r="E1543" t="s">
        <v>10</v>
      </c>
      <c r="F1543">
        <v>44.2303</v>
      </c>
      <c r="G1543">
        <v>-78.352599999999995</v>
      </c>
      <c r="H1543">
        <v>-5</v>
      </c>
      <c r="I1543">
        <v>191.4</v>
      </c>
      <c r="J1543" t="str">
        <f>HYPERLINK("https://climate.onebuilding.org/WMO_Region_4_North_and_Central_America/CAN_Canada/ON_Ontario/CAN_ON_Peterborough.Muni.AP.714360_TMYx.2009-2023.zip")</f>
        <v>https://climate.onebuilding.org/WMO_Region_4_North_and_Central_America/CAN_Canada/ON_Ontario/CAN_ON_Peterborough.Muni.AP.714360_TMYx.2009-2023.zip</v>
      </c>
    </row>
    <row r="1544" spans="1:10" x14ac:dyDescent="0.25">
      <c r="A1544" t="s">
        <v>6</v>
      </c>
      <c r="B1544" t="s">
        <v>130</v>
      </c>
      <c r="C1544" t="s">
        <v>785</v>
      </c>
      <c r="D1544">
        <v>714360</v>
      </c>
      <c r="E1544" t="s">
        <v>10</v>
      </c>
      <c r="F1544">
        <v>44.2303</v>
      </c>
      <c r="G1544">
        <v>-78.352599999999995</v>
      </c>
      <c r="H1544">
        <v>-5</v>
      </c>
      <c r="I1544">
        <v>191.4</v>
      </c>
      <c r="J1544" t="str">
        <f>HYPERLINK("https://climate.onebuilding.org/WMO_Region_4_North_and_Central_America/CAN_Canada/ON_Ontario/CAN_ON_Peterborough.Muni.AP.714360_TMYx.zip")</f>
        <v>https://climate.onebuilding.org/WMO_Region_4_North_and_Central_America/CAN_Canada/ON_Ontario/CAN_ON_Peterborough.Muni.AP.714360_TMYx.zip</v>
      </c>
    </row>
    <row r="1545" spans="1:10" x14ac:dyDescent="0.25">
      <c r="A1545" t="s">
        <v>6</v>
      </c>
      <c r="B1545" t="s">
        <v>130</v>
      </c>
      <c r="C1545" t="s">
        <v>787</v>
      </c>
      <c r="D1545">
        <v>714370</v>
      </c>
      <c r="E1545" t="s">
        <v>788</v>
      </c>
      <c r="F1545">
        <v>43.3</v>
      </c>
      <c r="G1545">
        <v>-79.8</v>
      </c>
      <c r="H1545">
        <v>-5</v>
      </c>
      <c r="I1545">
        <v>77.400000000000006</v>
      </c>
      <c r="J1545" t="str">
        <f>HYPERLINK("https://climate.onebuilding.org/WMO_Region_4_North_and_Central_America/CAN_Canada/ON_Ontario/CAN_ON_Burlington.Piers.714370_TMYx.2004-2018.zip")</f>
        <v>https://climate.onebuilding.org/WMO_Region_4_North_and_Central_America/CAN_Canada/ON_Ontario/CAN_ON_Burlington.Piers.714370_TMYx.2004-2018.zip</v>
      </c>
    </row>
    <row r="1546" spans="1:10" x14ac:dyDescent="0.25">
      <c r="A1546" t="s">
        <v>6</v>
      </c>
      <c r="B1546" t="s">
        <v>130</v>
      </c>
      <c r="C1546" t="s">
        <v>787</v>
      </c>
      <c r="D1546">
        <v>714370</v>
      </c>
      <c r="E1546" t="s">
        <v>10</v>
      </c>
      <c r="F1546">
        <v>43.3005</v>
      </c>
      <c r="G1546">
        <v>-79.791600000000003</v>
      </c>
      <c r="H1546">
        <v>-5</v>
      </c>
      <c r="I1546">
        <v>77.400000000000006</v>
      </c>
      <c r="J1546" t="str">
        <f>HYPERLINK("https://climate.onebuilding.org/WMO_Region_4_North_and_Central_America/CAN_Canada/ON_Ontario/CAN_ON_Burlington.Piers.714370_TMYx.2007-2021.zip")</f>
        <v>https://climate.onebuilding.org/WMO_Region_4_North_and_Central_America/CAN_Canada/ON_Ontario/CAN_ON_Burlington.Piers.714370_TMYx.2007-2021.zip</v>
      </c>
    </row>
    <row r="1547" spans="1:10" x14ac:dyDescent="0.25">
      <c r="A1547" t="s">
        <v>6</v>
      </c>
      <c r="B1547" t="s">
        <v>130</v>
      </c>
      <c r="C1547" t="s">
        <v>787</v>
      </c>
      <c r="D1547">
        <v>714370</v>
      </c>
      <c r="E1547" t="s">
        <v>10</v>
      </c>
      <c r="F1547">
        <v>43.3005</v>
      </c>
      <c r="G1547">
        <v>-79.791600000000003</v>
      </c>
      <c r="H1547">
        <v>-5</v>
      </c>
      <c r="I1547">
        <v>77.400000000000006</v>
      </c>
      <c r="J1547" t="str">
        <f>HYPERLINK("https://climate.onebuilding.org/WMO_Region_4_North_and_Central_America/CAN_Canada/ON_Ontario/CAN_ON_Burlington.Piers.714370_TMYx.2009-2023.zip")</f>
        <v>https://climate.onebuilding.org/WMO_Region_4_North_and_Central_America/CAN_Canada/ON_Ontario/CAN_ON_Burlington.Piers.714370_TMYx.2009-2023.zip</v>
      </c>
    </row>
    <row r="1548" spans="1:10" x14ac:dyDescent="0.25">
      <c r="A1548" t="s">
        <v>6</v>
      </c>
      <c r="B1548" t="s">
        <v>130</v>
      </c>
      <c r="C1548" t="s">
        <v>787</v>
      </c>
      <c r="D1548">
        <v>714370</v>
      </c>
      <c r="E1548" t="s">
        <v>10</v>
      </c>
      <c r="F1548">
        <v>43.3005</v>
      </c>
      <c r="G1548">
        <v>-79.791600000000003</v>
      </c>
      <c r="H1548">
        <v>-5</v>
      </c>
      <c r="I1548">
        <v>77.400000000000006</v>
      </c>
      <c r="J1548" t="str">
        <f>HYPERLINK("https://climate.onebuilding.org/WMO_Region_4_North_and_Central_America/CAN_Canada/ON_Ontario/CAN_ON_Burlington.Piers.714370_TMYx.zip")</f>
        <v>https://climate.onebuilding.org/WMO_Region_4_North_and_Central_America/CAN_Canada/ON_Ontario/CAN_ON_Burlington.Piers.714370_TMYx.zip</v>
      </c>
    </row>
    <row r="1549" spans="1:10" x14ac:dyDescent="0.25">
      <c r="A1549" t="s">
        <v>6</v>
      </c>
      <c r="B1549" t="s">
        <v>130</v>
      </c>
      <c r="C1549" t="s">
        <v>789</v>
      </c>
      <c r="D1549">
        <v>714380</v>
      </c>
      <c r="E1549" t="s">
        <v>790</v>
      </c>
      <c r="F1549">
        <v>45.036639999999998</v>
      </c>
      <c r="G1549">
        <v>-80.353970000000004</v>
      </c>
      <c r="H1549">
        <v>-5</v>
      </c>
      <c r="I1549">
        <v>191.1</v>
      </c>
      <c r="J1549" t="str">
        <f>HYPERLINK("https://climate.onebuilding.org/WMO_Region_4_North_and_Central_America/CAN_Canada/ON_Ontario/CAN_ON_Western.Islands.Lighthouse.714380_TMYx.2004-2018.zip")</f>
        <v>https://climate.onebuilding.org/WMO_Region_4_North_and_Central_America/CAN_Canada/ON_Ontario/CAN_ON_Western.Islands.Lighthouse.714380_TMYx.2004-2018.zip</v>
      </c>
    </row>
    <row r="1550" spans="1:10" x14ac:dyDescent="0.25">
      <c r="A1550" t="s">
        <v>6</v>
      </c>
      <c r="B1550" t="s">
        <v>130</v>
      </c>
      <c r="C1550" t="s">
        <v>789</v>
      </c>
      <c r="D1550">
        <v>714380</v>
      </c>
      <c r="E1550" t="s">
        <v>10</v>
      </c>
      <c r="F1550">
        <v>45.036639999999998</v>
      </c>
      <c r="G1550">
        <v>-80.353970000000004</v>
      </c>
      <c r="H1550">
        <v>-5</v>
      </c>
      <c r="I1550">
        <v>191.1</v>
      </c>
      <c r="J1550" t="str">
        <f>HYPERLINK("https://climate.onebuilding.org/WMO_Region_4_North_and_Central_America/CAN_Canada/ON_Ontario/CAN_ON_Western.Islands.Lighthouse.714380_TMYx.2007-2021.zip")</f>
        <v>https://climate.onebuilding.org/WMO_Region_4_North_and_Central_America/CAN_Canada/ON_Ontario/CAN_ON_Western.Islands.Lighthouse.714380_TMYx.2007-2021.zip</v>
      </c>
    </row>
    <row r="1551" spans="1:10" x14ac:dyDescent="0.25">
      <c r="A1551" t="s">
        <v>6</v>
      </c>
      <c r="B1551" t="s">
        <v>130</v>
      </c>
      <c r="C1551" t="s">
        <v>789</v>
      </c>
      <c r="D1551">
        <v>714380</v>
      </c>
      <c r="E1551" t="s">
        <v>10</v>
      </c>
      <c r="F1551">
        <v>45.036639999999998</v>
      </c>
      <c r="G1551">
        <v>-80.353970000000004</v>
      </c>
      <c r="H1551">
        <v>-5</v>
      </c>
      <c r="I1551">
        <v>191.1</v>
      </c>
      <c r="J1551" t="str">
        <f>HYPERLINK("https://climate.onebuilding.org/WMO_Region_4_North_and_Central_America/CAN_Canada/ON_Ontario/CAN_ON_Western.Islands.Lighthouse.714380_TMYx.2009-2023.zip")</f>
        <v>https://climate.onebuilding.org/WMO_Region_4_North_and_Central_America/CAN_Canada/ON_Ontario/CAN_ON_Western.Islands.Lighthouse.714380_TMYx.2009-2023.zip</v>
      </c>
    </row>
    <row r="1552" spans="1:10" x14ac:dyDescent="0.25">
      <c r="A1552" t="s">
        <v>6</v>
      </c>
      <c r="B1552" t="s">
        <v>130</v>
      </c>
      <c r="C1552" t="s">
        <v>789</v>
      </c>
      <c r="D1552">
        <v>714380</v>
      </c>
      <c r="E1552" t="s">
        <v>10</v>
      </c>
      <c r="F1552">
        <v>45.036639999999998</v>
      </c>
      <c r="G1552">
        <v>-80.353970000000004</v>
      </c>
      <c r="H1552">
        <v>-5</v>
      </c>
      <c r="I1552">
        <v>191.1</v>
      </c>
      <c r="J1552" t="str">
        <f>HYPERLINK("https://climate.onebuilding.org/WMO_Region_4_North_and_Central_America/CAN_Canada/ON_Ontario/CAN_ON_Western.Islands.Lighthouse.714380_TMYx.zip")</f>
        <v>https://climate.onebuilding.org/WMO_Region_4_North_and_Central_America/CAN_Canada/ON_Ontario/CAN_ON_Western.Islands.Lighthouse.714380_TMYx.zip</v>
      </c>
    </row>
    <row r="1553" spans="1:10" x14ac:dyDescent="0.25">
      <c r="A1553" t="s">
        <v>6</v>
      </c>
      <c r="B1553" t="s">
        <v>130</v>
      </c>
      <c r="C1553" t="s">
        <v>791</v>
      </c>
      <c r="D1553">
        <v>714390</v>
      </c>
      <c r="E1553" t="s">
        <v>792</v>
      </c>
      <c r="F1553">
        <v>45.325800000000001</v>
      </c>
      <c r="G1553">
        <v>-81.735799999999998</v>
      </c>
      <c r="H1553">
        <v>-5</v>
      </c>
      <c r="I1553">
        <v>180.7</v>
      </c>
      <c r="J1553" t="str">
        <f>HYPERLINK("https://climate.onebuilding.org/WMO_Region_4_North_and_Central_America/CAN_Canada/ON_Ontario/CAN_ON_Cove.Island.Lighthouse.714390_TMYx.2004-2018.zip")</f>
        <v>https://climate.onebuilding.org/WMO_Region_4_North_and_Central_America/CAN_Canada/ON_Ontario/CAN_ON_Cove.Island.Lighthouse.714390_TMYx.2004-2018.zip</v>
      </c>
    </row>
    <row r="1554" spans="1:10" x14ac:dyDescent="0.25">
      <c r="A1554" t="s">
        <v>6</v>
      </c>
      <c r="B1554" t="s">
        <v>130</v>
      </c>
      <c r="C1554" t="s">
        <v>791</v>
      </c>
      <c r="D1554">
        <v>714390</v>
      </c>
      <c r="E1554" t="s">
        <v>10</v>
      </c>
      <c r="F1554">
        <v>45.326999999999998</v>
      </c>
      <c r="G1554">
        <v>-81.734999999999999</v>
      </c>
      <c r="H1554">
        <v>-5</v>
      </c>
      <c r="I1554">
        <v>180.7</v>
      </c>
      <c r="J1554" t="str">
        <f>HYPERLINK("https://climate.onebuilding.org/WMO_Region_4_North_and_Central_America/CAN_Canada/ON_Ontario/CAN_ON_Cove.Island.Lighthouse.714390_TMYx.2007-2021.zip")</f>
        <v>https://climate.onebuilding.org/WMO_Region_4_North_and_Central_America/CAN_Canada/ON_Ontario/CAN_ON_Cove.Island.Lighthouse.714390_TMYx.2007-2021.zip</v>
      </c>
    </row>
    <row r="1555" spans="1:10" x14ac:dyDescent="0.25">
      <c r="A1555" t="s">
        <v>6</v>
      </c>
      <c r="B1555" t="s">
        <v>130</v>
      </c>
      <c r="C1555" t="s">
        <v>791</v>
      </c>
      <c r="D1555">
        <v>714390</v>
      </c>
      <c r="E1555" t="s">
        <v>10</v>
      </c>
      <c r="F1555">
        <v>45.326999999999998</v>
      </c>
      <c r="G1555">
        <v>-81.734999999999999</v>
      </c>
      <c r="H1555">
        <v>-5</v>
      </c>
      <c r="I1555">
        <v>180.7</v>
      </c>
      <c r="J1555" t="str">
        <f>HYPERLINK("https://climate.onebuilding.org/WMO_Region_4_North_and_Central_America/CAN_Canada/ON_Ontario/CAN_ON_Cove.Island.Lighthouse.714390_TMYx.2009-2023.zip")</f>
        <v>https://climate.onebuilding.org/WMO_Region_4_North_and_Central_America/CAN_Canada/ON_Ontario/CAN_ON_Cove.Island.Lighthouse.714390_TMYx.2009-2023.zip</v>
      </c>
    </row>
    <row r="1556" spans="1:10" x14ac:dyDescent="0.25">
      <c r="A1556" t="s">
        <v>6</v>
      </c>
      <c r="B1556" t="s">
        <v>130</v>
      </c>
      <c r="C1556" t="s">
        <v>791</v>
      </c>
      <c r="D1556">
        <v>714390</v>
      </c>
      <c r="E1556" t="s">
        <v>10</v>
      </c>
      <c r="F1556">
        <v>45.326999999999998</v>
      </c>
      <c r="G1556">
        <v>-81.734999999999999</v>
      </c>
      <c r="H1556">
        <v>-5</v>
      </c>
      <c r="I1556">
        <v>180.7</v>
      </c>
      <c r="J1556" t="str">
        <f>HYPERLINK("https://climate.onebuilding.org/WMO_Region_4_North_and_Central_America/CAN_Canada/ON_Ontario/CAN_ON_Cove.Island.Lighthouse.714390_TMYx.zip")</f>
        <v>https://climate.onebuilding.org/WMO_Region_4_North_and_Central_America/CAN_Canada/ON_Ontario/CAN_ON_Cove.Island.Lighthouse.714390_TMYx.zip</v>
      </c>
    </row>
    <row r="1557" spans="1:10" x14ac:dyDescent="0.25">
      <c r="A1557" t="s">
        <v>6</v>
      </c>
      <c r="B1557" t="s">
        <v>17</v>
      </c>
      <c r="C1557" t="s">
        <v>793</v>
      </c>
      <c r="D1557">
        <v>714400</v>
      </c>
      <c r="E1557" t="s">
        <v>794</v>
      </c>
      <c r="F1557">
        <v>51.228299999999997</v>
      </c>
      <c r="G1557">
        <v>-112.9819</v>
      </c>
      <c r="H1557">
        <v>-7</v>
      </c>
      <c r="I1557">
        <v>901</v>
      </c>
      <c r="J1557" t="str">
        <f>HYPERLINK("https://climate.onebuilding.org/WMO_Region_4_North_and_Central_America/CAN_Canada/AB_Alberta/CAN_AB_Standard.AgCM.714400_TMYx.2004-2018.zip")</f>
        <v>https://climate.onebuilding.org/WMO_Region_4_North_and_Central_America/CAN_Canada/AB_Alberta/CAN_AB_Standard.AgCM.714400_TMYx.2004-2018.zip</v>
      </c>
    </row>
    <row r="1558" spans="1:10" x14ac:dyDescent="0.25">
      <c r="A1558" t="s">
        <v>6</v>
      </c>
      <c r="B1558" t="s">
        <v>17</v>
      </c>
      <c r="C1558" t="s">
        <v>793</v>
      </c>
      <c r="D1558">
        <v>714400</v>
      </c>
      <c r="E1558" t="s">
        <v>10</v>
      </c>
      <c r="F1558">
        <v>51.228299999999997</v>
      </c>
      <c r="G1558">
        <v>-112.9819</v>
      </c>
      <c r="H1558">
        <v>-7</v>
      </c>
      <c r="I1558">
        <v>901</v>
      </c>
      <c r="J1558" t="str">
        <f>HYPERLINK("https://climate.onebuilding.org/WMO_Region_4_North_and_Central_America/CAN_Canada/AB_Alberta/CAN_AB_Standard.AgCM.714400_TMYx.2007-2021.zip")</f>
        <v>https://climate.onebuilding.org/WMO_Region_4_North_and_Central_America/CAN_Canada/AB_Alberta/CAN_AB_Standard.AgCM.714400_TMYx.2007-2021.zip</v>
      </c>
    </row>
    <row r="1559" spans="1:10" x14ac:dyDescent="0.25">
      <c r="A1559" t="s">
        <v>6</v>
      </c>
      <c r="B1559" t="s">
        <v>17</v>
      </c>
      <c r="C1559" t="s">
        <v>793</v>
      </c>
      <c r="D1559">
        <v>714400</v>
      </c>
      <c r="E1559" t="s">
        <v>10</v>
      </c>
      <c r="F1559">
        <v>51.228299999999997</v>
      </c>
      <c r="G1559">
        <v>-112.9819</v>
      </c>
      <c r="H1559">
        <v>-7</v>
      </c>
      <c r="I1559">
        <v>901</v>
      </c>
      <c r="J1559" t="str">
        <f>HYPERLINK("https://climate.onebuilding.org/WMO_Region_4_North_and_Central_America/CAN_Canada/AB_Alberta/CAN_AB_Standard.AgCM.714400_TMYx.2009-2023.zip")</f>
        <v>https://climate.onebuilding.org/WMO_Region_4_North_and_Central_America/CAN_Canada/AB_Alberta/CAN_AB_Standard.AgCM.714400_TMYx.2009-2023.zip</v>
      </c>
    </row>
    <row r="1560" spans="1:10" x14ac:dyDescent="0.25">
      <c r="A1560" t="s">
        <v>6</v>
      </c>
      <c r="B1560" t="s">
        <v>17</v>
      </c>
      <c r="C1560" t="s">
        <v>793</v>
      </c>
      <c r="D1560">
        <v>714400</v>
      </c>
      <c r="E1560" t="s">
        <v>10</v>
      </c>
      <c r="F1560">
        <v>51.228299999999997</v>
      </c>
      <c r="G1560">
        <v>-112.9819</v>
      </c>
      <c r="H1560">
        <v>-7</v>
      </c>
      <c r="I1560">
        <v>901</v>
      </c>
      <c r="J1560" t="str">
        <f>HYPERLINK("https://climate.onebuilding.org/WMO_Region_4_North_and_Central_America/CAN_Canada/AB_Alberta/CAN_AB_Standard.AgCM.714400_TMYx.zip")</f>
        <v>https://climate.onebuilding.org/WMO_Region_4_North_and_Central_America/CAN_Canada/AB_Alberta/CAN_AB_Standard.AgCM.714400_TMYx.zip</v>
      </c>
    </row>
    <row r="1561" spans="1:10" x14ac:dyDescent="0.25">
      <c r="A1561" t="s">
        <v>6</v>
      </c>
      <c r="B1561" t="s">
        <v>94</v>
      </c>
      <c r="C1561" t="s">
        <v>795</v>
      </c>
      <c r="D1561">
        <v>714410</v>
      </c>
      <c r="E1561" t="s">
        <v>796</v>
      </c>
      <c r="F1561">
        <v>49.017000000000003</v>
      </c>
      <c r="G1561">
        <v>-97.55</v>
      </c>
      <c r="H1561">
        <v>-6</v>
      </c>
      <c r="I1561">
        <v>253</v>
      </c>
      <c r="J1561" t="str">
        <f>HYPERLINK("https://climate.onebuilding.org/WMO_Region_4_North_and_Central_America/CAN_Canada/MB_Manitoba/CAN_MB_Gretna.714410_TMYx.2004-2018.zip")</f>
        <v>https://climate.onebuilding.org/WMO_Region_4_North_and_Central_America/CAN_Canada/MB_Manitoba/CAN_MB_Gretna.714410_TMYx.2004-2018.zip</v>
      </c>
    </row>
    <row r="1562" spans="1:10" x14ac:dyDescent="0.25">
      <c r="A1562" t="s">
        <v>6</v>
      </c>
      <c r="B1562" t="s">
        <v>94</v>
      </c>
      <c r="C1562" t="s">
        <v>795</v>
      </c>
      <c r="D1562">
        <v>714410</v>
      </c>
      <c r="E1562" t="s">
        <v>10</v>
      </c>
      <c r="F1562">
        <v>49.030799999999999</v>
      </c>
      <c r="G1562">
        <v>-97.56</v>
      </c>
      <c r="H1562">
        <v>-6</v>
      </c>
      <c r="I1562">
        <v>253</v>
      </c>
      <c r="J1562" t="str">
        <f>HYPERLINK("https://climate.onebuilding.org/WMO_Region_4_North_and_Central_America/CAN_Canada/MB_Manitoba/CAN_MB_Gretna.714410_TMYx.2007-2021.zip")</f>
        <v>https://climate.onebuilding.org/WMO_Region_4_North_and_Central_America/CAN_Canada/MB_Manitoba/CAN_MB_Gretna.714410_TMYx.2007-2021.zip</v>
      </c>
    </row>
    <row r="1563" spans="1:10" x14ac:dyDescent="0.25">
      <c r="A1563" t="s">
        <v>6</v>
      </c>
      <c r="B1563" t="s">
        <v>94</v>
      </c>
      <c r="C1563" t="s">
        <v>795</v>
      </c>
      <c r="D1563">
        <v>714410</v>
      </c>
      <c r="E1563" t="s">
        <v>10</v>
      </c>
      <c r="F1563">
        <v>49.030799999999999</v>
      </c>
      <c r="G1563">
        <v>-97.56</v>
      </c>
      <c r="H1563">
        <v>-6</v>
      </c>
      <c r="I1563">
        <v>253</v>
      </c>
      <c r="J1563" t="str">
        <f>HYPERLINK("https://climate.onebuilding.org/WMO_Region_4_North_and_Central_America/CAN_Canada/MB_Manitoba/CAN_MB_Gretna.714410_TMYx.2009-2023.zip")</f>
        <v>https://climate.onebuilding.org/WMO_Region_4_North_and_Central_America/CAN_Canada/MB_Manitoba/CAN_MB_Gretna.714410_TMYx.2009-2023.zip</v>
      </c>
    </row>
    <row r="1564" spans="1:10" x14ac:dyDescent="0.25">
      <c r="A1564" t="s">
        <v>6</v>
      </c>
      <c r="B1564" t="s">
        <v>94</v>
      </c>
      <c r="C1564" t="s">
        <v>795</v>
      </c>
      <c r="D1564">
        <v>714410</v>
      </c>
      <c r="E1564" t="s">
        <v>10</v>
      </c>
      <c r="F1564">
        <v>49.030799999999999</v>
      </c>
      <c r="G1564">
        <v>-97.56</v>
      </c>
      <c r="H1564">
        <v>-6</v>
      </c>
      <c r="I1564">
        <v>253</v>
      </c>
      <c r="J1564" t="str">
        <f>HYPERLINK("https://climate.onebuilding.org/WMO_Region_4_North_and_Central_America/CAN_Canada/MB_Manitoba/CAN_MB_Gretna.714410_TMYx.zip")</f>
        <v>https://climate.onebuilding.org/WMO_Region_4_North_and_Central_America/CAN_Canada/MB_Manitoba/CAN_MB_Gretna.714410_TMYx.zip</v>
      </c>
    </row>
    <row r="1565" spans="1:10" x14ac:dyDescent="0.25">
      <c r="A1565" t="s">
        <v>6</v>
      </c>
      <c r="B1565" t="s">
        <v>94</v>
      </c>
      <c r="C1565" t="s">
        <v>797</v>
      </c>
      <c r="D1565">
        <v>714420</v>
      </c>
      <c r="E1565" t="s">
        <v>798</v>
      </c>
      <c r="F1565">
        <v>51.083300000000001</v>
      </c>
      <c r="G1565">
        <v>-97.554500000000004</v>
      </c>
      <c r="H1565">
        <v>-6</v>
      </c>
      <c r="I1565">
        <v>253</v>
      </c>
      <c r="J1565" t="str">
        <f>HYPERLINK("https://climate.onebuilding.org/WMO_Region_4_North_and_Central_America/CAN_Canada/MB_Manitoba/CAN_MB_Fisher.Branch.714420_TMYx.2004-2018.zip")</f>
        <v>https://climate.onebuilding.org/WMO_Region_4_North_and_Central_America/CAN_Canada/MB_Manitoba/CAN_MB_Fisher.Branch.714420_TMYx.2004-2018.zip</v>
      </c>
    </row>
    <row r="1566" spans="1:10" x14ac:dyDescent="0.25">
      <c r="A1566" t="s">
        <v>6</v>
      </c>
      <c r="B1566" t="s">
        <v>94</v>
      </c>
      <c r="C1566" t="s">
        <v>797</v>
      </c>
      <c r="D1566">
        <v>714420</v>
      </c>
      <c r="E1566" t="s">
        <v>10</v>
      </c>
      <c r="F1566">
        <v>51.083300000000001</v>
      </c>
      <c r="G1566">
        <v>-97.554500000000004</v>
      </c>
      <c r="H1566">
        <v>-6</v>
      </c>
      <c r="I1566">
        <v>253</v>
      </c>
      <c r="J1566" t="str">
        <f>HYPERLINK("https://climate.onebuilding.org/WMO_Region_4_North_and_Central_America/CAN_Canada/MB_Manitoba/CAN_MB_Fisher.Branch.714420_TMYx.2007-2021.zip")</f>
        <v>https://climate.onebuilding.org/WMO_Region_4_North_and_Central_America/CAN_Canada/MB_Manitoba/CAN_MB_Fisher.Branch.714420_TMYx.2007-2021.zip</v>
      </c>
    </row>
    <row r="1567" spans="1:10" x14ac:dyDescent="0.25">
      <c r="A1567" t="s">
        <v>6</v>
      </c>
      <c r="B1567" t="s">
        <v>94</v>
      </c>
      <c r="C1567" t="s">
        <v>797</v>
      </c>
      <c r="D1567">
        <v>714420</v>
      </c>
      <c r="E1567" t="s">
        <v>10</v>
      </c>
      <c r="F1567">
        <v>51.083300000000001</v>
      </c>
      <c r="G1567">
        <v>-97.554500000000004</v>
      </c>
      <c r="H1567">
        <v>-6</v>
      </c>
      <c r="I1567">
        <v>253</v>
      </c>
      <c r="J1567" t="str">
        <f>HYPERLINK("https://climate.onebuilding.org/WMO_Region_4_North_and_Central_America/CAN_Canada/MB_Manitoba/CAN_MB_Fisher.Branch.714420_TMYx.2009-2023.zip")</f>
        <v>https://climate.onebuilding.org/WMO_Region_4_North_and_Central_America/CAN_Canada/MB_Manitoba/CAN_MB_Fisher.Branch.714420_TMYx.2009-2023.zip</v>
      </c>
    </row>
    <row r="1568" spans="1:10" x14ac:dyDescent="0.25">
      <c r="A1568" t="s">
        <v>6</v>
      </c>
      <c r="B1568" t="s">
        <v>94</v>
      </c>
      <c r="C1568" t="s">
        <v>797</v>
      </c>
      <c r="D1568">
        <v>714420</v>
      </c>
      <c r="E1568" t="s">
        <v>10</v>
      </c>
      <c r="F1568">
        <v>51.083300000000001</v>
      </c>
      <c r="G1568">
        <v>-97.554500000000004</v>
      </c>
      <c r="H1568">
        <v>-6</v>
      </c>
      <c r="I1568">
        <v>253</v>
      </c>
      <c r="J1568" t="str">
        <f>HYPERLINK("https://climate.onebuilding.org/WMO_Region_4_North_and_Central_America/CAN_Canada/MB_Manitoba/CAN_MB_Fisher.Branch.714420_TMYx.zip")</f>
        <v>https://climate.onebuilding.org/WMO_Region_4_North_and_Central_America/CAN_Canada/MB_Manitoba/CAN_MB_Fisher.Branch.714420_TMYx.zip</v>
      </c>
    </row>
    <row r="1569" spans="1:10" x14ac:dyDescent="0.25">
      <c r="A1569" t="s">
        <v>6</v>
      </c>
      <c r="B1569" t="s">
        <v>94</v>
      </c>
      <c r="C1569" t="s">
        <v>799</v>
      </c>
      <c r="D1569">
        <v>714430</v>
      </c>
      <c r="E1569" t="s">
        <v>800</v>
      </c>
      <c r="F1569">
        <v>52.115000000000002</v>
      </c>
      <c r="G1569">
        <v>-101.23309999999999</v>
      </c>
      <c r="H1569">
        <v>-6</v>
      </c>
      <c r="I1569">
        <v>335</v>
      </c>
      <c r="J1569" t="str">
        <f>HYPERLINK("https://climate.onebuilding.org/WMO_Region_4_North_and_Central_America/CAN_Canada/MB_Manitoba/CAN_MB_Swan.River.AP.RCS.714430_TMYx.2004-2018.zip")</f>
        <v>https://climate.onebuilding.org/WMO_Region_4_North_and_Central_America/CAN_Canada/MB_Manitoba/CAN_MB_Swan.River.AP.RCS.714430_TMYx.2004-2018.zip</v>
      </c>
    </row>
    <row r="1570" spans="1:10" x14ac:dyDescent="0.25">
      <c r="A1570" t="s">
        <v>6</v>
      </c>
      <c r="B1570" t="s">
        <v>94</v>
      </c>
      <c r="C1570" t="s">
        <v>799</v>
      </c>
      <c r="D1570">
        <v>714430</v>
      </c>
      <c r="E1570" t="s">
        <v>10</v>
      </c>
      <c r="F1570">
        <v>52.115000000000002</v>
      </c>
      <c r="G1570">
        <v>-101.23309999999999</v>
      </c>
      <c r="H1570">
        <v>-6</v>
      </c>
      <c r="I1570">
        <v>335</v>
      </c>
      <c r="J1570" t="str">
        <f>HYPERLINK("https://climate.onebuilding.org/WMO_Region_4_North_and_Central_America/CAN_Canada/MB_Manitoba/CAN_MB_Swan.River.AP.RCS.714430_TMYx.2007-2021.zip")</f>
        <v>https://climate.onebuilding.org/WMO_Region_4_North_and_Central_America/CAN_Canada/MB_Manitoba/CAN_MB_Swan.River.AP.RCS.714430_TMYx.2007-2021.zip</v>
      </c>
    </row>
    <row r="1571" spans="1:10" x14ac:dyDescent="0.25">
      <c r="A1571" t="s">
        <v>6</v>
      </c>
      <c r="B1571" t="s">
        <v>94</v>
      </c>
      <c r="C1571" t="s">
        <v>799</v>
      </c>
      <c r="D1571">
        <v>714430</v>
      </c>
      <c r="E1571" t="s">
        <v>10</v>
      </c>
      <c r="F1571">
        <v>52.115000000000002</v>
      </c>
      <c r="G1571">
        <v>-101.23309999999999</v>
      </c>
      <c r="H1571">
        <v>-6</v>
      </c>
      <c r="I1571">
        <v>335</v>
      </c>
      <c r="J1571" t="str">
        <f>HYPERLINK("https://climate.onebuilding.org/WMO_Region_4_North_and_Central_America/CAN_Canada/MB_Manitoba/CAN_MB_Swan.River.AP.RCS.714430_TMYx.2009-2023.zip")</f>
        <v>https://climate.onebuilding.org/WMO_Region_4_North_and_Central_America/CAN_Canada/MB_Manitoba/CAN_MB_Swan.River.AP.RCS.714430_TMYx.2009-2023.zip</v>
      </c>
    </row>
    <row r="1572" spans="1:10" x14ac:dyDescent="0.25">
      <c r="A1572" t="s">
        <v>6</v>
      </c>
      <c r="B1572" t="s">
        <v>94</v>
      </c>
      <c r="C1572" t="s">
        <v>799</v>
      </c>
      <c r="D1572">
        <v>714430</v>
      </c>
      <c r="E1572" t="s">
        <v>10</v>
      </c>
      <c r="F1572">
        <v>52.115000000000002</v>
      </c>
      <c r="G1572">
        <v>-101.23309999999999</v>
      </c>
      <c r="H1572">
        <v>-6</v>
      </c>
      <c r="I1572">
        <v>335</v>
      </c>
      <c r="J1572" t="str">
        <f>HYPERLINK("https://climate.onebuilding.org/WMO_Region_4_North_and_Central_America/CAN_Canada/MB_Manitoba/CAN_MB_Swan.River.AP.RCS.714430_TMYx.zip")</f>
        <v>https://climate.onebuilding.org/WMO_Region_4_North_and_Central_America/CAN_Canada/MB_Manitoba/CAN_MB_Swan.River.AP.RCS.714430_TMYx.zip</v>
      </c>
    </row>
    <row r="1573" spans="1:10" x14ac:dyDescent="0.25">
      <c r="A1573" t="s">
        <v>6</v>
      </c>
      <c r="B1573" t="s">
        <v>94</v>
      </c>
      <c r="C1573" t="s">
        <v>801</v>
      </c>
      <c r="D1573">
        <v>714440</v>
      </c>
      <c r="E1573" t="s">
        <v>802</v>
      </c>
      <c r="F1573">
        <v>50.655000000000001</v>
      </c>
      <c r="G1573">
        <v>-99.941999999999993</v>
      </c>
      <c r="H1573">
        <v>-6</v>
      </c>
      <c r="I1573">
        <v>627</v>
      </c>
      <c r="J1573" t="str">
        <f>HYPERLINK("https://climate.onebuilding.org/WMO_Region_4_North_and_Central_America/CAN_Canada/MB_Manitoba/CAN_MB_Wasagaming.714440_TMYx.2004-2018.zip")</f>
        <v>https://climate.onebuilding.org/WMO_Region_4_North_and_Central_America/CAN_Canada/MB_Manitoba/CAN_MB_Wasagaming.714440_TMYx.2004-2018.zip</v>
      </c>
    </row>
    <row r="1574" spans="1:10" x14ac:dyDescent="0.25">
      <c r="A1574" t="s">
        <v>6</v>
      </c>
      <c r="B1574" t="s">
        <v>94</v>
      </c>
      <c r="C1574" t="s">
        <v>801</v>
      </c>
      <c r="D1574">
        <v>714440</v>
      </c>
      <c r="E1574" t="s">
        <v>10</v>
      </c>
      <c r="F1574">
        <v>50.655000000000001</v>
      </c>
      <c r="G1574">
        <v>-99.941999999999993</v>
      </c>
      <c r="H1574">
        <v>-6</v>
      </c>
      <c r="I1574">
        <v>627</v>
      </c>
      <c r="J1574" t="str">
        <f>HYPERLINK("https://climate.onebuilding.org/WMO_Region_4_North_and_Central_America/CAN_Canada/MB_Manitoba/CAN_MB_Wasagaming.714440_TMYx.2007-2021.zip")</f>
        <v>https://climate.onebuilding.org/WMO_Region_4_North_and_Central_America/CAN_Canada/MB_Manitoba/CAN_MB_Wasagaming.714440_TMYx.2007-2021.zip</v>
      </c>
    </row>
    <row r="1575" spans="1:10" x14ac:dyDescent="0.25">
      <c r="A1575" t="s">
        <v>6</v>
      </c>
      <c r="B1575" t="s">
        <v>94</v>
      </c>
      <c r="C1575" t="s">
        <v>801</v>
      </c>
      <c r="D1575">
        <v>714440</v>
      </c>
      <c r="E1575" t="s">
        <v>10</v>
      </c>
      <c r="F1575">
        <v>50.655000000000001</v>
      </c>
      <c r="G1575">
        <v>-99.941999999999993</v>
      </c>
      <c r="H1575">
        <v>-6</v>
      </c>
      <c r="I1575">
        <v>627</v>
      </c>
      <c r="J1575" t="str">
        <f>HYPERLINK("https://climate.onebuilding.org/WMO_Region_4_North_and_Central_America/CAN_Canada/MB_Manitoba/CAN_MB_Wasagaming.714440_TMYx.2009-2023.zip")</f>
        <v>https://climate.onebuilding.org/WMO_Region_4_North_and_Central_America/CAN_Canada/MB_Manitoba/CAN_MB_Wasagaming.714440_TMYx.2009-2023.zip</v>
      </c>
    </row>
    <row r="1576" spans="1:10" x14ac:dyDescent="0.25">
      <c r="A1576" t="s">
        <v>6</v>
      </c>
      <c r="B1576" t="s">
        <v>94</v>
      </c>
      <c r="C1576" t="s">
        <v>801</v>
      </c>
      <c r="D1576">
        <v>714440</v>
      </c>
      <c r="E1576" t="s">
        <v>10</v>
      </c>
      <c r="F1576">
        <v>50.655000000000001</v>
      </c>
      <c r="G1576">
        <v>-99.941999999999993</v>
      </c>
      <c r="H1576">
        <v>-6</v>
      </c>
      <c r="I1576">
        <v>627</v>
      </c>
      <c r="J1576" t="str">
        <f>HYPERLINK("https://climate.onebuilding.org/WMO_Region_4_North_and_Central_America/CAN_Canada/MB_Manitoba/CAN_MB_Wasagaming.714440_TMYx.zip")</f>
        <v>https://climate.onebuilding.org/WMO_Region_4_North_and_Central_America/CAN_Canada/MB_Manitoba/CAN_MB_Wasagaming.714440_TMYx.zip</v>
      </c>
    </row>
    <row r="1577" spans="1:10" x14ac:dyDescent="0.25">
      <c r="A1577" t="s">
        <v>6</v>
      </c>
      <c r="B1577" t="s">
        <v>94</v>
      </c>
      <c r="C1577" t="s">
        <v>803</v>
      </c>
      <c r="D1577">
        <v>714450</v>
      </c>
      <c r="E1577" t="s">
        <v>804</v>
      </c>
      <c r="F1577">
        <v>52.818600000000004</v>
      </c>
      <c r="G1577">
        <v>-97.616399999999999</v>
      </c>
      <c r="H1577">
        <v>-6</v>
      </c>
      <c r="I1577">
        <v>222.5</v>
      </c>
      <c r="J1577" t="str">
        <f>HYPERLINK("https://climate.onebuilding.org/WMO_Region_4_North_and_Central_America/CAN_Canada/MB_Manitoba/CAN_MB_George.Island.714450_TMYx.2004-2018.zip")</f>
        <v>https://climate.onebuilding.org/WMO_Region_4_North_and_Central_America/CAN_Canada/MB_Manitoba/CAN_MB_George.Island.714450_TMYx.2004-2018.zip</v>
      </c>
    </row>
    <row r="1578" spans="1:10" x14ac:dyDescent="0.25">
      <c r="A1578" t="s">
        <v>6</v>
      </c>
      <c r="B1578" t="s">
        <v>94</v>
      </c>
      <c r="C1578" t="s">
        <v>803</v>
      </c>
      <c r="D1578">
        <v>714450</v>
      </c>
      <c r="E1578" t="s">
        <v>10</v>
      </c>
      <c r="F1578">
        <v>52.818600000000004</v>
      </c>
      <c r="G1578">
        <v>-97.616399999999999</v>
      </c>
      <c r="H1578">
        <v>-6</v>
      </c>
      <c r="I1578">
        <v>222.5</v>
      </c>
      <c r="J1578" t="str">
        <f>HYPERLINK("https://climate.onebuilding.org/WMO_Region_4_North_and_Central_America/CAN_Canada/MB_Manitoba/CAN_MB_George.Island.714450_TMYx.2007-2021.zip")</f>
        <v>https://climate.onebuilding.org/WMO_Region_4_North_and_Central_America/CAN_Canada/MB_Manitoba/CAN_MB_George.Island.714450_TMYx.2007-2021.zip</v>
      </c>
    </row>
    <row r="1579" spans="1:10" x14ac:dyDescent="0.25">
      <c r="A1579" t="s">
        <v>6</v>
      </c>
      <c r="B1579" t="s">
        <v>94</v>
      </c>
      <c r="C1579" t="s">
        <v>803</v>
      </c>
      <c r="D1579">
        <v>714450</v>
      </c>
      <c r="E1579" t="s">
        <v>10</v>
      </c>
      <c r="F1579">
        <v>52.818600000000004</v>
      </c>
      <c r="G1579">
        <v>-97.616399999999999</v>
      </c>
      <c r="H1579">
        <v>-6</v>
      </c>
      <c r="I1579">
        <v>222.5</v>
      </c>
      <c r="J1579" t="str">
        <f>HYPERLINK("https://climate.onebuilding.org/WMO_Region_4_North_and_Central_America/CAN_Canada/MB_Manitoba/CAN_MB_George.Island.714450_TMYx.2009-2023.zip")</f>
        <v>https://climate.onebuilding.org/WMO_Region_4_North_and_Central_America/CAN_Canada/MB_Manitoba/CAN_MB_George.Island.714450_TMYx.2009-2023.zip</v>
      </c>
    </row>
    <row r="1580" spans="1:10" x14ac:dyDescent="0.25">
      <c r="A1580" t="s">
        <v>6</v>
      </c>
      <c r="B1580" t="s">
        <v>94</v>
      </c>
      <c r="C1580" t="s">
        <v>803</v>
      </c>
      <c r="D1580">
        <v>714450</v>
      </c>
      <c r="E1580" t="s">
        <v>10</v>
      </c>
      <c r="F1580">
        <v>52.818600000000004</v>
      </c>
      <c r="G1580">
        <v>-97.616399999999999</v>
      </c>
      <c r="H1580">
        <v>-6</v>
      </c>
      <c r="I1580">
        <v>222.5</v>
      </c>
      <c r="J1580" t="str">
        <f>HYPERLINK("https://climate.onebuilding.org/WMO_Region_4_North_and_Central_America/CAN_Canada/MB_Manitoba/CAN_MB_George.Island.714450_TMYx.zip")</f>
        <v>https://climate.onebuilding.org/WMO_Region_4_North_and_Central_America/CAN_Canada/MB_Manitoba/CAN_MB_George.Island.714450_TMYx.zip</v>
      </c>
    </row>
    <row r="1581" spans="1:10" x14ac:dyDescent="0.25">
      <c r="A1581" t="s">
        <v>6</v>
      </c>
      <c r="B1581" t="s">
        <v>58</v>
      </c>
      <c r="C1581" t="s">
        <v>805</v>
      </c>
      <c r="D1581">
        <v>714460</v>
      </c>
      <c r="E1581" t="s">
        <v>806</v>
      </c>
      <c r="F1581">
        <v>50.2667</v>
      </c>
      <c r="G1581">
        <v>-107.7333</v>
      </c>
      <c r="H1581">
        <v>-6</v>
      </c>
      <c r="I1581">
        <v>825</v>
      </c>
      <c r="J1581" t="str">
        <f>HYPERLINK("https://climate.onebuilding.org/WMO_Region_4_North_and_Central_America/CAN_Canada/SK_Saskatchewan/CAN_SK_Swift.Current.CDA.714460_TMYx.2004-2018.zip")</f>
        <v>https://climate.onebuilding.org/WMO_Region_4_North_and_Central_America/CAN_Canada/SK_Saskatchewan/CAN_SK_Swift.Current.CDA.714460_TMYx.2004-2018.zip</v>
      </c>
    </row>
    <row r="1582" spans="1:10" x14ac:dyDescent="0.25">
      <c r="A1582" t="s">
        <v>6</v>
      </c>
      <c r="B1582" t="s">
        <v>58</v>
      </c>
      <c r="C1582" t="s">
        <v>805</v>
      </c>
      <c r="D1582">
        <v>714460</v>
      </c>
      <c r="E1582" t="s">
        <v>10</v>
      </c>
      <c r="F1582">
        <v>50.26</v>
      </c>
      <c r="G1582">
        <v>-107.73699999999999</v>
      </c>
      <c r="H1582">
        <v>-6</v>
      </c>
      <c r="I1582">
        <v>825</v>
      </c>
      <c r="J1582" t="str">
        <f>HYPERLINK("https://climate.onebuilding.org/WMO_Region_4_North_and_Central_America/CAN_Canada/SK_Saskatchewan/CAN_SK_Swift.Current.CDA.714460_TMYx.2007-2021.zip")</f>
        <v>https://climate.onebuilding.org/WMO_Region_4_North_and_Central_America/CAN_Canada/SK_Saskatchewan/CAN_SK_Swift.Current.CDA.714460_TMYx.2007-2021.zip</v>
      </c>
    </row>
    <row r="1583" spans="1:10" x14ac:dyDescent="0.25">
      <c r="A1583" t="s">
        <v>6</v>
      </c>
      <c r="B1583" t="s">
        <v>58</v>
      </c>
      <c r="C1583" t="s">
        <v>805</v>
      </c>
      <c r="D1583">
        <v>714460</v>
      </c>
      <c r="E1583" t="s">
        <v>10</v>
      </c>
      <c r="F1583">
        <v>50.26</v>
      </c>
      <c r="G1583">
        <v>-107.73699999999999</v>
      </c>
      <c r="H1583">
        <v>-6</v>
      </c>
      <c r="I1583">
        <v>825</v>
      </c>
      <c r="J1583" t="str">
        <f>HYPERLINK("https://climate.onebuilding.org/WMO_Region_4_North_and_Central_America/CAN_Canada/SK_Saskatchewan/CAN_SK_Swift.Current.CDA.714460_TMYx.2009-2023.zip")</f>
        <v>https://climate.onebuilding.org/WMO_Region_4_North_and_Central_America/CAN_Canada/SK_Saskatchewan/CAN_SK_Swift.Current.CDA.714460_TMYx.2009-2023.zip</v>
      </c>
    </row>
    <row r="1584" spans="1:10" x14ac:dyDescent="0.25">
      <c r="A1584" t="s">
        <v>6</v>
      </c>
      <c r="B1584" t="s">
        <v>58</v>
      </c>
      <c r="C1584" t="s">
        <v>805</v>
      </c>
      <c r="D1584">
        <v>714460</v>
      </c>
      <c r="E1584" t="s">
        <v>10</v>
      </c>
      <c r="F1584">
        <v>50.26</v>
      </c>
      <c r="G1584">
        <v>-107.73699999999999</v>
      </c>
      <c r="H1584">
        <v>-6</v>
      </c>
      <c r="I1584">
        <v>825</v>
      </c>
      <c r="J1584" t="str">
        <f>HYPERLINK("https://climate.onebuilding.org/WMO_Region_4_North_and_Central_America/CAN_Canada/SK_Saskatchewan/CAN_SK_Swift.Current.CDA.714460_TMYx.zip")</f>
        <v>https://climate.onebuilding.org/WMO_Region_4_North_and_Central_America/CAN_Canada/SK_Saskatchewan/CAN_SK_Swift.Current.CDA.714460_TMYx.zip</v>
      </c>
    </row>
    <row r="1585" spans="1:10" x14ac:dyDescent="0.25">
      <c r="A1585" t="s">
        <v>6</v>
      </c>
      <c r="B1585" t="s">
        <v>94</v>
      </c>
      <c r="C1585" t="s">
        <v>807</v>
      </c>
      <c r="D1585">
        <v>714470</v>
      </c>
      <c r="E1585" t="s">
        <v>808</v>
      </c>
      <c r="F1585">
        <v>49.281399999999998</v>
      </c>
      <c r="G1585">
        <v>-100.9864</v>
      </c>
      <c r="H1585">
        <v>-6</v>
      </c>
      <c r="I1585">
        <v>445.9</v>
      </c>
      <c r="J1585" t="str">
        <f>HYPERLINK("https://climate.onebuilding.org/WMO_Region_4_North_and_Central_America/CAN_Canada/MB_Manitoba/CAN_MB_Melita.714470_TMYx.2004-2018.zip")</f>
        <v>https://climate.onebuilding.org/WMO_Region_4_North_and_Central_America/CAN_Canada/MB_Manitoba/CAN_MB_Melita.714470_TMYx.2004-2018.zip</v>
      </c>
    </row>
    <row r="1586" spans="1:10" x14ac:dyDescent="0.25">
      <c r="A1586" t="s">
        <v>6</v>
      </c>
      <c r="B1586" t="s">
        <v>94</v>
      </c>
      <c r="C1586" t="s">
        <v>807</v>
      </c>
      <c r="D1586">
        <v>714470</v>
      </c>
      <c r="E1586" t="s">
        <v>10</v>
      </c>
      <c r="F1586">
        <v>49.281199999999998</v>
      </c>
      <c r="G1586">
        <v>-100.9862</v>
      </c>
      <c r="H1586">
        <v>-6</v>
      </c>
      <c r="I1586">
        <v>445.9</v>
      </c>
      <c r="J1586" t="str">
        <f>HYPERLINK("https://climate.onebuilding.org/WMO_Region_4_North_and_Central_America/CAN_Canada/MB_Manitoba/CAN_MB_Melita.714470_TMYx.2007-2021.zip")</f>
        <v>https://climate.onebuilding.org/WMO_Region_4_North_and_Central_America/CAN_Canada/MB_Manitoba/CAN_MB_Melita.714470_TMYx.2007-2021.zip</v>
      </c>
    </row>
    <row r="1587" spans="1:10" x14ac:dyDescent="0.25">
      <c r="A1587" t="s">
        <v>6</v>
      </c>
      <c r="B1587" t="s">
        <v>94</v>
      </c>
      <c r="C1587" t="s">
        <v>807</v>
      </c>
      <c r="D1587">
        <v>714470</v>
      </c>
      <c r="E1587" t="s">
        <v>10</v>
      </c>
      <c r="F1587">
        <v>49.281199999999998</v>
      </c>
      <c r="G1587">
        <v>-100.9862</v>
      </c>
      <c r="H1587">
        <v>-6</v>
      </c>
      <c r="I1587">
        <v>445.9</v>
      </c>
      <c r="J1587" t="str">
        <f>HYPERLINK("https://climate.onebuilding.org/WMO_Region_4_North_and_Central_America/CAN_Canada/MB_Manitoba/CAN_MB_Melita.714470_TMYx.2009-2023.zip")</f>
        <v>https://climate.onebuilding.org/WMO_Region_4_North_and_Central_America/CAN_Canada/MB_Manitoba/CAN_MB_Melita.714470_TMYx.2009-2023.zip</v>
      </c>
    </row>
    <row r="1588" spans="1:10" x14ac:dyDescent="0.25">
      <c r="A1588" t="s">
        <v>6</v>
      </c>
      <c r="B1588" t="s">
        <v>94</v>
      </c>
      <c r="C1588" t="s">
        <v>807</v>
      </c>
      <c r="D1588">
        <v>714470</v>
      </c>
      <c r="E1588" t="s">
        <v>10</v>
      </c>
      <c r="F1588">
        <v>49.281199999999998</v>
      </c>
      <c r="G1588">
        <v>-100.9862</v>
      </c>
      <c r="H1588">
        <v>-6</v>
      </c>
      <c r="I1588">
        <v>445.9</v>
      </c>
      <c r="J1588" t="str">
        <f>HYPERLINK("https://climate.onebuilding.org/WMO_Region_4_North_and_Central_America/CAN_Canada/MB_Manitoba/CAN_MB_Melita.714470_TMYx.zip")</f>
        <v>https://climate.onebuilding.org/WMO_Region_4_North_and_Central_America/CAN_Canada/MB_Manitoba/CAN_MB_Melita.714470_TMYx.zip</v>
      </c>
    </row>
    <row r="1589" spans="1:10" x14ac:dyDescent="0.25">
      <c r="A1589" t="s">
        <v>6</v>
      </c>
      <c r="B1589" t="s">
        <v>94</v>
      </c>
      <c r="C1589" t="s">
        <v>809</v>
      </c>
      <c r="D1589">
        <v>714480</v>
      </c>
      <c r="E1589" t="s">
        <v>810</v>
      </c>
      <c r="F1589">
        <v>50.167000000000002</v>
      </c>
      <c r="G1589">
        <v>-96.05</v>
      </c>
      <c r="H1589">
        <v>-6</v>
      </c>
      <c r="I1589">
        <v>268</v>
      </c>
      <c r="J1589" t="str">
        <f>HYPERLINK("https://climate.onebuilding.org/WMO_Region_4_North_and_Central_America/CAN_Canada/MB_Manitoba/CAN_MB_Pinawa.714480_TMYx.2004-2018.zip")</f>
        <v>https://climate.onebuilding.org/WMO_Region_4_North_and_Central_America/CAN_Canada/MB_Manitoba/CAN_MB_Pinawa.714480_TMYx.2004-2018.zip</v>
      </c>
    </row>
    <row r="1590" spans="1:10" x14ac:dyDescent="0.25">
      <c r="A1590" t="s">
        <v>6</v>
      </c>
      <c r="B1590" t="s">
        <v>94</v>
      </c>
      <c r="C1590" t="s">
        <v>809</v>
      </c>
      <c r="D1590">
        <v>714480</v>
      </c>
      <c r="E1590" t="s">
        <v>10</v>
      </c>
      <c r="F1590">
        <v>50.177</v>
      </c>
      <c r="G1590">
        <v>-96.064999999999998</v>
      </c>
      <c r="H1590">
        <v>-6</v>
      </c>
      <c r="I1590">
        <v>268</v>
      </c>
      <c r="J1590" t="str">
        <f>HYPERLINK("https://climate.onebuilding.org/WMO_Region_4_North_and_Central_America/CAN_Canada/MB_Manitoba/CAN_MB_Pinawa.714480_TMYx.2007-2021.zip")</f>
        <v>https://climate.onebuilding.org/WMO_Region_4_North_and_Central_America/CAN_Canada/MB_Manitoba/CAN_MB_Pinawa.714480_TMYx.2007-2021.zip</v>
      </c>
    </row>
    <row r="1591" spans="1:10" x14ac:dyDescent="0.25">
      <c r="A1591" t="s">
        <v>6</v>
      </c>
      <c r="B1591" t="s">
        <v>94</v>
      </c>
      <c r="C1591" t="s">
        <v>809</v>
      </c>
      <c r="D1591">
        <v>714480</v>
      </c>
      <c r="E1591" t="s">
        <v>10</v>
      </c>
      <c r="F1591">
        <v>50.177</v>
      </c>
      <c r="G1591">
        <v>-96.064999999999998</v>
      </c>
      <c r="H1591">
        <v>-6</v>
      </c>
      <c r="I1591">
        <v>268</v>
      </c>
      <c r="J1591" t="str">
        <f>HYPERLINK("https://climate.onebuilding.org/WMO_Region_4_North_and_Central_America/CAN_Canada/MB_Manitoba/CAN_MB_Pinawa.714480_TMYx.2009-2023.zip")</f>
        <v>https://climate.onebuilding.org/WMO_Region_4_North_and_Central_America/CAN_Canada/MB_Manitoba/CAN_MB_Pinawa.714480_TMYx.2009-2023.zip</v>
      </c>
    </row>
    <row r="1592" spans="1:10" x14ac:dyDescent="0.25">
      <c r="A1592" t="s">
        <v>6</v>
      </c>
      <c r="B1592" t="s">
        <v>94</v>
      </c>
      <c r="C1592" t="s">
        <v>809</v>
      </c>
      <c r="D1592">
        <v>714480</v>
      </c>
      <c r="E1592" t="s">
        <v>10</v>
      </c>
      <c r="F1592">
        <v>50.177</v>
      </c>
      <c r="G1592">
        <v>-96.064999999999998</v>
      </c>
      <c r="H1592">
        <v>-6</v>
      </c>
      <c r="I1592">
        <v>268</v>
      </c>
      <c r="J1592" t="str">
        <f>HYPERLINK("https://climate.onebuilding.org/WMO_Region_4_North_and_Central_America/CAN_Canada/MB_Manitoba/CAN_MB_Pinawa.714480_TMYx.zip")</f>
        <v>https://climate.onebuilding.org/WMO_Region_4_North_and_Central_America/CAN_Canada/MB_Manitoba/CAN_MB_Pinawa.714480_TMYx.zip</v>
      </c>
    </row>
    <row r="1593" spans="1:10" x14ac:dyDescent="0.25">
      <c r="A1593" t="s">
        <v>6</v>
      </c>
      <c r="B1593" t="s">
        <v>94</v>
      </c>
      <c r="C1593" t="s">
        <v>811</v>
      </c>
      <c r="D1593">
        <v>714490</v>
      </c>
      <c r="E1593" t="s">
        <v>812</v>
      </c>
      <c r="F1593">
        <v>49.023600000000002</v>
      </c>
      <c r="G1593">
        <v>-95.598299999999995</v>
      </c>
      <c r="H1593">
        <v>-6</v>
      </c>
      <c r="I1593">
        <v>329</v>
      </c>
      <c r="J1593" t="str">
        <f>HYPERLINK("https://climate.onebuilding.org/WMO_Region_4_North_and_Central_America/CAN_Canada/MB_Manitoba/CAN_MB_Sprague.714490_TMYx.2004-2018.zip")</f>
        <v>https://climate.onebuilding.org/WMO_Region_4_North_and_Central_America/CAN_Canada/MB_Manitoba/CAN_MB_Sprague.714490_TMYx.2004-2018.zip</v>
      </c>
    </row>
    <row r="1594" spans="1:10" x14ac:dyDescent="0.25">
      <c r="A1594" t="s">
        <v>6</v>
      </c>
      <c r="B1594" t="s">
        <v>94</v>
      </c>
      <c r="C1594" t="s">
        <v>811</v>
      </c>
      <c r="D1594">
        <v>714490</v>
      </c>
      <c r="E1594" t="s">
        <v>10</v>
      </c>
      <c r="F1594">
        <v>49.023600000000002</v>
      </c>
      <c r="G1594">
        <v>-95.598299999999995</v>
      </c>
      <c r="H1594">
        <v>-6</v>
      </c>
      <c r="I1594">
        <v>329</v>
      </c>
      <c r="J1594" t="str">
        <f>HYPERLINK("https://climate.onebuilding.org/WMO_Region_4_North_and_Central_America/CAN_Canada/MB_Manitoba/CAN_MB_Sprague.714490_TMYx.2007-2021.zip")</f>
        <v>https://climate.onebuilding.org/WMO_Region_4_North_and_Central_America/CAN_Canada/MB_Manitoba/CAN_MB_Sprague.714490_TMYx.2007-2021.zip</v>
      </c>
    </row>
    <row r="1595" spans="1:10" x14ac:dyDescent="0.25">
      <c r="A1595" t="s">
        <v>6</v>
      </c>
      <c r="B1595" t="s">
        <v>94</v>
      </c>
      <c r="C1595" t="s">
        <v>811</v>
      </c>
      <c r="D1595">
        <v>714490</v>
      </c>
      <c r="E1595" t="s">
        <v>10</v>
      </c>
      <c r="F1595">
        <v>49.023600000000002</v>
      </c>
      <c r="G1595">
        <v>-95.598299999999995</v>
      </c>
      <c r="H1595">
        <v>-6</v>
      </c>
      <c r="I1595">
        <v>329</v>
      </c>
      <c r="J1595" t="str">
        <f>HYPERLINK("https://climate.onebuilding.org/WMO_Region_4_North_and_Central_America/CAN_Canada/MB_Manitoba/CAN_MB_Sprague.714490_TMYx.2009-2023.zip")</f>
        <v>https://climate.onebuilding.org/WMO_Region_4_North_and_Central_America/CAN_Canada/MB_Manitoba/CAN_MB_Sprague.714490_TMYx.2009-2023.zip</v>
      </c>
    </row>
    <row r="1596" spans="1:10" x14ac:dyDescent="0.25">
      <c r="A1596" t="s">
        <v>6</v>
      </c>
      <c r="B1596" t="s">
        <v>94</v>
      </c>
      <c r="C1596" t="s">
        <v>811</v>
      </c>
      <c r="D1596">
        <v>714490</v>
      </c>
      <c r="E1596" t="s">
        <v>10</v>
      </c>
      <c r="F1596">
        <v>49.023600000000002</v>
      </c>
      <c r="G1596">
        <v>-95.598299999999995</v>
      </c>
      <c r="H1596">
        <v>-6</v>
      </c>
      <c r="I1596">
        <v>329</v>
      </c>
      <c r="J1596" t="str">
        <f>HYPERLINK("https://climate.onebuilding.org/WMO_Region_4_North_and_Central_America/CAN_Canada/MB_Manitoba/CAN_MB_Sprague.714490_TMYx.zip")</f>
        <v>https://climate.onebuilding.org/WMO_Region_4_North_and_Central_America/CAN_Canada/MB_Manitoba/CAN_MB_Sprague.714490_TMYx.zip</v>
      </c>
    </row>
    <row r="1597" spans="1:10" x14ac:dyDescent="0.25">
      <c r="A1597" t="s">
        <v>6</v>
      </c>
      <c r="B1597" t="s">
        <v>58</v>
      </c>
      <c r="C1597" t="s">
        <v>813</v>
      </c>
      <c r="D1597">
        <v>714500</v>
      </c>
      <c r="E1597" t="s">
        <v>814</v>
      </c>
      <c r="F1597">
        <v>51.133299999999998</v>
      </c>
      <c r="G1597">
        <v>-106.58329999999999</v>
      </c>
      <c r="H1597">
        <v>-6</v>
      </c>
      <c r="I1597">
        <v>594.6</v>
      </c>
      <c r="J1597" t="str">
        <f>HYPERLINK("https://climate.onebuilding.org/WMO_Region_4_North_and_Central_America/CAN_Canada/SK_Saskatchewan/CAN_SK_Elbow.714500_TMYx.2004-2018.zip")</f>
        <v>https://climate.onebuilding.org/WMO_Region_4_North_and_Central_America/CAN_Canada/SK_Saskatchewan/CAN_SK_Elbow.714500_TMYx.2004-2018.zip</v>
      </c>
    </row>
    <row r="1598" spans="1:10" x14ac:dyDescent="0.25">
      <c r="A1598" t="s">
        <v>6</v>
      </c>
      <c r="B1598" t="s">
        <v>58</v>
      </c>
      <c r="C1598" t="s">
        <v>813</v>
      </c>
      <c r="D1598">
        <v>714500</v>
      </c>
      <c r="E1598" t="s">
        <v>10</v>
      </c>
      <c r="F1598">
        <v>51.125599999999999</v>
      </c>
      <c r="G1598">
        <v>-106.5826</v>
      </c>
      <c r="H1598">
        <v>-6</v>
      </c>
      <c r="I1598">
        <v>594.6</v>
      </c>
      <c r="J1598" t="str">
        <f>HYPERLINK("https://climate.onebuilding.org/WMO_Region_4_North_and_Central_America/CAN_Canada/SK_Saskatchewan/CAN_SK_Elbow.714500_TMYx.2007-2021.zip")</f>
        <v>https://climate.onebuilding.org/WMO_Region_4_North_and_Central_America/CAN_Canada/SK_Saskatchewan/CAN_SK_Elbow.714500_TMYx.2007-2021.zip</v>
      </c>
    </row>
    <row r="1599" spans="1:10" x14ac:dyDescent="0.25">
      <c r="A1599" t="s">
        <v>6</v>
      </c>
      <c r="B1599" t="s">
        <v>58</v>
      </c>
      <c r="C1599" t="s">
        <v>813</v>
      </c>
      <c r="D1599">
        <v>714500</v>
      </c>
      <c r="E1599" t="s">
        <v>10</v>
      </c>
      <c r="F1599">
        <v>51.125599999999999</v>
      </c>
      <c r="G1599">
        <v>-106.5826</v>
      </c>
      <c r="H1599">
        <v>-6</v>
      </c>
      <c r="I1599">
        <v>594.6</v>
      </c>
      <c r="J1599" t="str">
        <f>HYPERLINK("https://climate.onebuilding.org/WMO_Region_4_North_and_Central_America/CAN_Canada/SK_Saskatchewan/CAN_SK_Elbow.714500_TMYx.2009-2023.zip")</f>
        <v>https://climate.onebuilding.org/WMO_Region_4_North_and_Central_America/CAN_Canada/SK_Saskatchewan/CAN_SK_Elbow.714500_TMYx.2009-2023.zip</v>
      </c>
    </row>
    <row r="1600" spans="1:10" x14ac:dyDescent="0.25">
      <c r="A1600" t="s">
        <v>6</v>
      </c>
      <c r="B1600" t="s">
        <v>58</v>
      </c>
      <c r="C1600" t="s">
        <v>813</v>
      </c>
      <c r="D1600">
        <v>714500</v>
      </c>
      <c r="E1600" t="s">
        <v>10</v>
      </c>
      <c r="F1600">
        <v>51.125599999999999</v>
      </c>
      <c r="G1600">
        <v>-106.5826</v>
      </c>
      <c r="H1600">
        <v>-6</v>
      </c>
      <c r="I1600">
        <v>594.6</v>
      </c>
      <c r="J1600" t="str">
        <f>HYPERLINK("https://climate.onebuilding.org/WMO_Region_4_North_and_Central_America/CAN_Canada/SK_Saskatchewan/CAN_SK_Elbow.714500_TMYx.zip")</f>
        <v>https://climate.onebuilding.org/WMO_Region_4_North_and_Central_America/CAN_Canada/SK_Saskatchewan/CAN_SK_Elbow.714500_TMYx.zip</v>
      </c>
    </row>
    <row r="1601" spans="1:10" x14ac:dyDescent="0.25">
      <c r="A1601" t="s">
        <v>6</v>
      </c>
      <c r="B1601" t="s">
        <v>58</v>
      </c>
      <c r="C1601" t="s">
        <v>815</v>
      </c>
      <c r="D1601">
        <v>714510</v>
      </c>
      <c r="E1601" t="s">
        <v>816</v>
      </c>
      <c r="F1601">
        <v>56.333300000000001</v>
      </c>
      <c r="G1601">
        <v>-103.2833</v>
      </c>
      <c r="H1601">
        <v>-6</v>
      </c>
      <c r="I1601">
        <v>344.1</v>
      </c>
      <c r="J1601" t="str">
        <f>HYPERLINK("https://climate.onebuilding.org/WMO_Region_4_North_and_Central_America/CAN_Canada/SK_Saskatchewan/CAN_SK_Southend.AP.714510_TMYx.2004-2018.zip")</f>
        <v>https://climate.onebuilding.org/WMO_Region_4_North_and_Central_America/CAN_Canada/SK_Saskatchewan/CAN_SK_Southend.AP.714510_TMYx.2004-2018.zip</v>
      </c>
    </row>
    <row r="1602" spans="1:10" x14ac:dyDescent="0.25">
      <c r="A1602" t="s">
        <v>6</v>
      </c>
      <c r="B1602" t="s">
        <v>58</v>
      </c>
      <c r="C1602" t="s">
        <v>815</v>
      </c>
      <c r="D1602">
        <v>714510</v>
      </c>
      <c r="E1602" t="s">
        <v>10</v>
      </c>
      <c r="F1602">
        <v>56.337499999999999</v>
      </c>
      <c r="G1602">
        <v>-103.2867</v>
      </c>
      <c r="H1602">
        <v>-6</v>
      </c>
      <c r="I1602">
        <v>344.1</v>
      </c>
      <c r="J1602" t="str">
        <f>HYPERLINK("https://climate.onebuilding.org/WMO_Region_4_North_and_Central_America/CAN_Canada/SK_Saskatchewan/CAN_SK_Southend.AP.714510_TMYx.2007-2021.zip")</f>
        <v>https://climate.onebuilding.org/WMO_Region_4_North_and_Central_America/CAN_Canada/SK_Saskatchewan/CAN_SK_Southend.AP.714510_TMYx.2007-2021.zip</v>
      </c>
    </row>
    <row r="1603" spans="1:10" x14ac:dyDescent="0.25">
      <c r="A1603" t="s">
        <v>6</v>
      </c>
      <c r="B1603" t="s">
        <v>58</v>
      </c>
      <c r="C1603" t="s">
        <v>815</v>
      </c>
      <c r="D1603">
        <v>714510</v>
      </c>
      <c r="E1603" t="s">
        <v>10</v>
      </c>
      <c r="F1603">
        <v>56.337499999999999</v>
      </c>
      <c r="G1603">
        <v>-103.2867</v>
      </c>
      <c r="H1603">
        <v>-6</v>
      </c>
      <c r="I1603">
        <v>344.1</v>
      </c>
      <c r="J1603" t="str">
        <f>HYPERLINK("https://climate.onebuilding.org/WMO_Region_4_North_and_Central_America/CAN_Canada/SK_Saskatchewan/CAN_SK_Southend.AP.714510_TMYx.2009-2023.zip")</f>
        <v>https://climate.onebuilding.org/WMO_Region_4_North_and_Central_America/CAN_Canada/SK_Saskatchewan/CAN_SK_Southend.AP.714510_TMYx.2009-2023.zip</v>
      </c>
    </row>
    <row r="1604" spans="1:10" x14ac:dyDescent="0.25">
      <c r="A1604" t="s">
        <v>6</v>
      </c>
      <c r="B1604" t="s">
        <v>58</v>
      </c>
      <c r="C1604" t="s">
        <v>815</v>
      </c>
      <c r="D1604">
        <v>714510</v>
      </c>
      <c r="E1604" t="s">
        <v>10</v>
      </c>
      <c r="F1604">
        <v>56.337499999999999</v>
      </c>
      <c r="G1604">
        <v>-103.2867</v>
      </c>
      <c r="H1604">
        <v>-6</v>
      </c>
      <c r="I1604">
        <v>344.1</v>
      </c>
      <c r="J1604" t="str">
        <f>HYPERLINK("https://climate.onebuilding.org/WMO_Region_4_North_and_Central_America/CAN_Canada/SK_Saskatchewan/CAN_SK_Southend.AP.714510_TMYx.zip")</f>
        <v>https://climate.onebuilding.org/WMO_Region_4_North_and_Central_America/CAN_Canada/SK_Saskatchewan/CAN_SK_Southend.AP.714510_TMYx.zip</v>
      </c>
    </row>
    <row r="1605" spans="1:10" x14ac:dyDescent="0.25">
      <c r="A1605" t="s">
        <v>6</v>
      </c>
      <c r="B1605" t="s">
        <v>58</v>
      </c>
      <c r="C1605" t="s">
        <v>817</v>
      </c>
      <c r="D1605">
        <v>714520</v>
      </c>
      <c r="E1605" t="s">
        <v>818</v>
      </c>
      <c r="F1605">
        <v>49.7</v>
      </c>
      <c r="G1605">
        <v>-103.8</v>
      </c>
      <c r="H1605">
        <v>-6</v>
      </c>
      <c r="I1605">
        <v>588.6</v>
      </c>
      <c r="J1605" t="str">
        <f>HYPERLINK("https://climate.onebuilding.org/WMO_Region_4_North_and_Central_America/CAN_Canada/SK_Saskatchewan/CAN_SK_Weyburn.AP.714520_TMYx.2004-2018.zip")</f>
        <v>https://climate.onebuilding.org/WMO_Region_4_North_and_Central_America/CAN_Canada/SK_Saskatchewan/CAN_SK_Weyburn.AP.714520_TMYx.2004-2018.zip</v>
      </c>
    </row>
    <row r="1606" spans="1:10" x14ac:dyDescent="0.25">
      <c r="A1606" t="s">
        <v>6</v>
      </c>
      <c r="B1606" t="s">
        <v>58</v>
      </c>
      <c r="C1606" t="s">
        <v>817</v>
      </c>
      <c r="D1606">
        <v>714520</v>
      </c>
      <c r="E1606" t="s">
        <v>10</v>
      </c>
      <c r="F1606">
        <v>49.7</v>
      </c>
      <c r="G1606">
        <v>-103.8</v>
      </c>
      <c r="H1606">
        <v>-6</v>
      </c>
      <c r="I1606">
        <v>588.6</v>
      </c>
      <c r="J1606" t="str">
        <f>HYPERLINK("https://climate.onebuilding.org/WMO_Region_4_North_and_Central_America/CAN_Canada/SK_Saskatchewan/CAN_SK_Weyburn.AP.714520_TMYx.2007-2021.zip")</f>
        <v>https://climate.onebuilding.org/WMO_Region_4_North_and_Central_America/CAN_Canada/SK_Saskatchewan/CAN_SK_Weyburn.AP.714520_TMYx.2007-2021.zip</v>
      </c>
    </row>
    <row r="1607" spans="1:10" x14ac:dyDescent="0.25">
      <c r="A1607" t="s">
        <v>6</v>
      </c>
      <c r="B1607" t="s">
        <v>58</v>
      </c>
      <c r="C1607" t="s">
        <v>817</v>
      </c>
      <c r="D1607">
        <v>714520</v>
      </c>
      <c r="E1607" t="s">
        <v>10</v>
      </c>
      <c r="F1607">
        <v>49.7</v>
      </c>
      <c r="G1607">
        <v>-103.8</v>
      </c>
      <c r="H1607">
        <v>-6</v>
      </c>
      <c r="I1607">
        <v>588.6</v>
      </c>
      <c r="J1607" t="str">
        <f>HYPERLINK("https://climate.onebuilding.org/WMO_Region_4_North_and_Central_America/CAN_Canada/SK_Saskatchewan/CAN_SK_Weyburn.AP.714520_TMYx.2009-2023.zip")</f>
        <v>https://climate.onebuilding.org/WMO_Region_4_North_and_Central_America/CAN_Canada/SK_Saskatchewan/CAN_SK_Weyburn.AP.714520_TMYx.2009-2023.zip</v>
      </c>
    </row>
    <row r="1608" spans="1:10" x14ac:dyDescent="0.25">
      <c r="A1608" t="s">
        <v>6</v>
      </c>
      <c r="B1608" t="s">
        <v>58</v>
      </c>
      <c r="C1608" t="s">
        <v>817</v>
      </c>
      <c r="D1608">
        <v>714520</v>
      </c>
      <c r="E1608" t="s">
        <v>10</v>
      </c>
      <c r="F1608">
        <v>49.7</v>
      </c>
      <c r="G1608">
        <v>-103.8</v>
      </c>
      <c r="H1608">
        <v>-6</v>
      </c>
      <c r="I1608">
        <v>588.6</v>
      </c>
      <c r="J1608" t="str">
        <f>HYPERLINK("https://climate.onebuilding.org/WMO_Region_4_North_and_Central_America/CAN_Canada/SK_Saskatchewan/CAN_SK_Weyburn.AP.714520_TMYx.zip")</f>
        <v>https://climate.onebuilding.org/WMO_Region_4_North_and_Central_America/CAN_Canada/SK_Saskatchewan/CAN_SK_Weyburn.AP.714520_TMYx.zip</v>
      </c>
    </row>
    <row r="1609" spans="1:10" x14ac:dyDescent="0.25">
      <c r="A1609" t="s">
        <v>6</v>
      </c>
      <c r="B1609" t="s">
        <v>58</v>
      </c>
      <c r="C1609" t="s">
        <v>819</v>
      </c>
      <c r="D1609">
        <v>714530</v>
      </c>
      <c r="E1609" t="s">
        <v>820</v>
      </c>
      <c r="F1609">
        <v>49.902500000000003</v>
      </c>
      <c r="G1609">
        <v>-109.4661</v>
      </c>
      <c r="H1609">
        <v>-6</v>
      </c>
      <c r="I1609">
        <v>766.7</v>
      </c>
      <c r="J1609" t="str">
        <f>HYPERLINK("https://climate.onebuilding.org/WMO_Region_4_North_and_Central_America/CAN_Canada/SK_Saskatchewan/CAN_SK_Maple.Creek.714530_TMYx.2004-2018.zip")</f>
        <v>https://climate.onebuilding.org/WMO_Region_4_North_and_Central_America/CAN_Canada/SK_Saskatchewan/CAN_SK_Maple.Creek.714530_TMYx.2004-2018.zip</v>
      </c>
    </row>
    <row r="1610" spans="1:10" x14ac:dyDescent="0.25">
      <c r="A1610" t="s">
        <v>6</v>
      </c>
      <c r="B1610" t="s">
        <v>58</v>
      </c>
      <c r="C1610" t="s">
        <v>819</v>
      </c>
      <c r="D1610">
        <v>714530</v>
      </c>
      <c r="E1610" t="s">
        <v>10</v>
      </c>
      <c r="F1610">
        <v>49.902500000000003</v>
      </c>
      <c r="G1610">
        <v>-109.4661</v>
      </c>
      <c r="H1610">
        <v>-6</v>
      </c>
      <c r="I1610">
        <v>766.7</v>
      </c>
      <c r="J1610" t="str">
        <f>HYPERLINK("https://climate.onebuilding.org/WMO_Region_4_North_and_Central_America/CAN_Canada/SK_Saskatchewan/CAN_SK_Maple.Creek.714530_TMYx.2007-2021.zip")</f>
        <v>https://climate.onebuilding.org/WMO_Region_4_North_and_Central_America/CAN_Canada/SK_Saskatchewan/CAN_SK_Maple.Creek.714530_TMYx.2007-2021.zip</v>
      </c>
    </row>
    <row r="1611" spans="1:10" x14ac:dyDescent="0.25">
      <c r="A1611" t="s">
        <v>6</v>
      </c>
      <c r="B1611" t="s">
        <v>58</v>
      </c>
      <c r="C1611" t="s">
        <v>819</v>
      </c>
      <c r="D1611">
        <v>714530</v>
      </c>
      <c r="E1611" t="s">
        <v>10</v>
      </c>
      <c r="F1611">
        <v>49.902500000000003</v>
      </c>
      <c r="G1611">
        <v>-109.4661</v>
      </c>
      <c r="H1611">
        <v>-6</v>
      </c>
      <c r="I1611">
        <v>766.7</v>
      </c>
      <c r="J1611" t="str">
        <f>HYPERLINK("https://climate.onebuilding.org/WMO_Region_4_North_and_Central_America/CAN_Canada/SK_Saskatchewan/CAN_SK_Maple.Creek.714530_TMYx.2009-2023.zip")</f>
        <v>https://climate.onebuilding.org/WMO_Region_4_North_and_Central_America/CAN_Canada/SK_Saskatchewan/CAN_SK_Maple.Creek.714530_TMYx.2009-2023.zip</v>
      </c>
    </row>
    <row r="1612" spans="1:10" x14ac:dyDescent="0.25">
      <c r="A1612" t="s">
        <v>6</v>
      </c>
      <c r="B1612" t="s">
        <v>58</v>
      </c>
      <c r="C1612" t="s">
        <v>819</v>
      </c>
      <c r="D1612">
        <v>714530</v>
      </c>
      <c r="E1612" t="s">
        <v>10</v>
      </c>
      <c r="F1612">
        <v>49.902500000000003</v>
      </c>
      <c r="G1612">
        <v>-109.4661</v>
      </c>
      <c r="H1612">
        <v>-6</v>
      </c>
      <c r="I1612">
        <v>766.7</v>
      </c>
      <c r="J1612" t="str">
        <f>HYPERLINK("https://climate.onebuilding.org/WMO_Region_4_North_and_Central_America/CAN_Canada/SK_Saskatchewan/CAN_SK_Maple.Creek.714530_TMYx.zip")</f>
        <v>https://climate.onebuilding.org/WMO_Region_4_North_and_Central_America/CAN_Canada/SK_Saskatchewan/CAN_SK_Maple.Creek.714530_TMYx.zip</v>
      </c>
    </row>
    <row r="1613" spans="1:10" x14ac:dyDescent="0.25">
      <c r="A1613" t="s">
        <v>6</v>
      </c>
      <c r="B1613" t="s">
        <v>58</v>
      </c>
      <c r="C1613" t="s">
        <v>821</v>
      </c>
      <c r="D1613">
        <v>714540</v>
      </c>
      <c r="E1613" t="s">
        <v>822</v>
      </c>
      <c r="F1613">
        <v>53.916699999999999</v>
      </c>
      <c r="G1613">
        <v>-106.0667</v>
      </c>
      <c r="H1613">
        <v>-6</v>
      </c>
      <c r="I1613">
        <v>569.4</v>
      </c>
      <c r="J1613" t="str">
        <f>HYPERLINK("https://climate.onebuilding.org/WMO_Region_4_North_and_Central_America/CAN_Canada/SK_Saskatchewan/CAN_SK_Waskesiu.Lake.714540_TMYx.2004-2018.zip")</f>
        <v>https://climate.onebuilding.org/WMO_Region_4_North_and_Central_America/CAN_Canada/SK_Saskatchewan/CAN_SK_Waskesiu.Lake.714540_TMYx.2004-2018.zip</v>
      </c>
    </row>
    <row r="1614" spans="1:10" x14ac:dyDescent="0.25">
      <c r="A1614" t="s">
        <v>6</v>
      </c>
      <c r="B1614" t="s">
        <v>58</v>
      </c>
      <c r="C1614" t="s">
        <v>821</v>
      </c>
      <c r="D1614">
        <v>714540</v>
      </c>
      <c r="E1614" t="s">
        <v>10</v>
      </c>
      <c r="F1614">
        <v>53.916699999999999</v>
      </c>
      <c r="G1614">
        <v>-106.0667</v>
      </c>
      <c r="H1614">
        <v>-6</v>
      </c>
      <c r="I1614">
        <v>569.4</v>
      </c>
      <c r="J1614" t="str">
        <f>HYPERLINK("https://climate.onebuilding.org/WMO_Region_4_North_and_Central_America/CAN_Canada/SK_Saskatchewan/CAN_SK_Waskesiu.Lake.714540_TMYx.2007-2021.zip")</f>
        <v>https://climate.onebuilding.org/WMO_Region_4_North_and_Central_America/CAN_Canada/SK_Saskatchewan/CAN_SK_Waskesiu.Lake.714540_TMYx.2007-2021.zip</v>
      </c>
    </row>
    <row r="1615" spans="1:10" x14ac:dyDescent="0.25">
      <c r="A1615" t="s">
        <v>6</v>
      </c>
      <c r="B1615" t="s">
        <v>58</v>
      </c>
      <c r="C1615" t="s">
        <v>821</v>
      </c>
      <c r="D1615">
        <v>714540</v>
      </c>
      <c r="E1615" t="s">
        <v>10</v>
      </c>
      <c r="F1615">
        <v>53.916699999999999</v>
      </c>
      <c r="G1615">
        <v>-106.0667</v>
      </c>
      <c r="H1615">
        <v>-6</v>
      </c>
      <c r="I1615">
        <v>569.4</v>
      </c>
      <c r="J1615" t="str">
        <f>HYPERLINK("https://climate.onebuilding.org/WMO_Region_4_North_and_Central_America/CAN_Canada/SK_Saskatchewan/CAN_SK_Waskesiu.Lake.714540_TMYx.2009-2023.zip")</f>
        <v>https://climate.onebuilding.org/WMO_Region_4_North_and_Central_America/CAN_Canada/SK_Saskatchewan/CAN_SK_Waskesiu.Lake.714540_TMYx.2009-2023.zip</v>
      </c>
    </row>
    <row r="1616" spans="1:10" x14ac:dyDescent="0.25">
      <c r="A1616" t="s">
        <v>6</v>
      </c>
      <c r="B1616" t="s">
        <v>58</v>
      </c>
      <c r="C1616" t="s">
        <v>821</v>
      </c>
      <c r="D1616">
        <v>714540</v>
      </c>
      <c r="E1616" t="s">
        <v>10</v>
      </c>
      <c r="F1616">
        <v>53.916699999999999</v>
      </c>
      <c r="G1616">
        <v>-106.0667</v>
      </c>
      <c r="H1616">
        <v>-6</v>
      </c>
      <c r="I1616">
        <v>569.4</v>
      </c>
      <c r="J1616" t="str">
        <f>HYPERLINK("https://climate.onebuilding.org/WMO_Region_4_North_and_Central_America/CAN_Canada/SK_Saskatchewan/CAN_SK_Waskesiu.Lake.714540_TMYx.zip")</f>
        <v>https://climate.onebuilding.org/WMO_Region_4_North_and_Central_America/CAN_Canada/SK_Saskatchewan/CAN_SK_Waskesiu.Lake.714540_TMYx.zip</v>
      </c>
    </row>
    <row r="1617" spans="1:10" x14ac:dyDescent="0.25">
      <c r="A1617" t="s">
        <v>6</v>
      </c>
      <c r="B1617" t="s">
        <v>58</v>
      </c>
      <c r="C1617" t="s">
        <v>823</v>
      </c>
      <c r="D1617">
        <v>714550</v>
      </c>
      <c r="E1617" t="s">
        <v>824</v>
      </c>
      <c r="F1617">
        <v>50.95</v>
      </c>
      <c r="G1617">
        <v>-107.15</v>
      </c>
      <c r="H1617">
        <v>-7</v>
      </c>
      <c r="I1617">
        <v>664.7</v>
      </c>
      <c r="J1617" t="str">
        <f>HYPERLINK("https://climate.onebuilding.org/WMO_Region_4_North_and_Central_America/CAN_Canada/SK_Saskatchewan/CAN_SK_Lucky.Lake.714550_TMYx.2004-2018.zip")</f>
        <v>https://climate.onebuilding.org/WMO_Region_4_North_and_Central_America/CAN_Canada/SK_Saskatchewan/CAN_SK_Lucky.Lake.714550_TMYx.2004-2018.zip</v>
      </c>
    </row>
    <row r="1618" spans="1:10" x14ac:dyDescent="0.25">
      <c r="A1618" t="s">
        <v>6</v>
      </c>
      <c r="B1618" t="s">
        <v>58</v>
      </c>
      <c r="C1618" t="s">
        <v>823</v>
      </c>
      <c r="D1618">
        <v>714550</v>
      </c>
      <c r="E1618" t="s">
        <v>10</v>
      </c>
      <c r="F1618">
        <v>50.95</v>
      </c>
      <c r="G1618">
        <v>-107.15</v>
      </c>
      <c r="H1618">
        <v>-7</v>
      </c>
      <c r="I1618">
        <v>664.7</v>
      </c>
      <c r="J1618" t="str">
        <f>HYPERLINK("https://climate.onebuilding.org/WMO_Region_4_North_and_Central_America/CAN_Canada/SK_Saskatchewan/CAN_SK_Lucky.Lake.714550_TMYx.2007-2021.zip")</f>
        <v>https://climate.onebuilding.org/WMO_Region_4_North_and_Central_America/CAN_Canada/SK_Saskatchewan/CAN_SK_Lucky.Lake.714550_TMYx.2007-2021.zip</v>
      </c>
    </row>
    <row r="1619" spans="1:10" x14ac:dyDescent="0.25">
      <c r="A1619" t="s">
        <v>6</v>
      </c>
      <c r="B1619" t="s">
        <v>58</v>
      </c>
      <c r="C1619" t="s">
        <v>823</v>
      </c>
      <c r="D1619">
        <v>714550</v>
      </c>
      <c r="E1619" t="s">
        <v>10</v>
      </c>
      <c r="F1619">
        <v>50.95</v>
      </c>
      <c r="G1619">
        <v>-107.15</v>
      </c>
      <c r="H1619">
        <v>-7</v>
      </c>
      <c r="I1619">
        <v>664.7</v>
      </c>
      <c r="J1619" t="str">
        <f>HYPERLINK("https://climate.onebuilding.org/WMO_Region_4_North_and_Central_America/CAN_Canada/SK_Saskatchewan/CAN_SK_Lucky.Lake.714550_TMYx.2009-2023.zip")</f>
        <v>https://climate.onebuilding.org/WMO_Region_4_North_and_Central_America/CAN_Canada/SK_Saskatchewan/CAN_SK_Lucky.Lake.714550_TMYx.2009-2023.zip</v>
      </c>
    </row>
    <row r="1620" spans="1:10" x14ac:dyDescent="0.25">
      <c r="A1620" t="s">
        <v>6</v>
      </c>
      <c r="B1620" t="s">
        <v>58</v>
      </c>
      <c r="C1620" t="s">
        <v>823</v>
      </c>
      <c r="D1620">
        <v>714550</v>
      </c>
      <c r="E1620" t="s">
        <v>10</v>
      </c>
      <c r="F1620">
        <v>50.95</v>
      </c>
      <c r="G1620">
        <v>-107.15</v>
      </c>
      <c r="H1620">
        <v>-7</v>
      </c>
      <c r="I1620">
        <v>664.7</v>
      </c>
      <c r="J1620" t="str">
        <f>HYPERLINK("https://climate.onebuilding.org/WMO_Region_4_North_and_Central_America/CAN_Canada/SK_Saskatchewan/CAN_SK_Lucky.Lake.714550_TMYx.zip")</f>
        <v>https://climate.onebuilding.org/WMO_Region_4_North_and_Central_America/CAN_Canada/SK_Saskatchewan/CAN_SK_Lucky.Lake.714550_TMYx.zip</v>
      </c>
    </row>
    <row r="1621" spans="1:10" x14ac:dyDescent="0.25">
      <c r="A1621" t="s">
        <v>6</v>
      </c>
      <c r="B1621" t="s">
        <v>58</v>
      </c>
      <c r="C1621" t="s">
        <v>825</v>
      </c>
      <c r="D1621">
        <v>714560</v>
      </c>
      <c r="E1621" t="s">
        <v>826</v>
      </c>
      <c r="F1621">
        <v>52.816699999999997</v>
      </c>
      <c r="G1621">
        <v>-104.6</v>
      </c>
      <c r="H1621">
        <v>-6</v>
      </c>
      <c r="I1621">
        <v>490</v>
      </c>
      <c r="J1621" t="str">
        <f>HYPERLINK("https://climate.onebuilding.org/WMO_Region_4_North_and_Central_America/CAN_Canada/SK_Saskatchewan/CAN_SK_Melfort.714560_TMYx.2004-2018.zip")</f>
        <v>https://climate.onebuilding.org/WMO_Region_4_North_and_Central_America/CAN_Canada/SK_Saskatchewan/CAN_SK_Melfort.714560_TMYx.2004-2018.zip</v>
      </c>
    </row>
    <row r="1622" spans="1:10" x14ac:dyDescent="0.25">
      <c r="A1622" t="s">
        <v>6</v>
      </c>
      <c r="B1622" t="s">
        <v>58</v>
      </c>
      <c r="C1622" t="s">
        <v>825</v>
      </c>
      <c r="D1622">
        <v>714560</v>
      </c>
      <c r="E1622" t="s">
        <v>10</v>
      </c>
      <c r="F1622">
        <v>52.816699999999997</v>
      </c>
      <c r="G1622">
        <v>-104.6</v>
      </c>
      <c r="H1622">
        <v>-6</v>
      </c>
      <c r="I1622">
        <v>490</v>
      </c>
      <c r="J1622" t="str">
        <f>HYPERLINK("https://climate.onebuilding.org/WMO_Region_4_North_and_Central_America/CAN_Canada/SK_Saskatchewan/CAN_SK_Melfort.714560_TMYx.2007-2021.zip")</f>
        <v>https://climate.onebuilding.org/WMO_Region_4_North_and_Central_America/CAN_Canada/SK_Saskatchewan/CAN_SK_Melfort.714560_TMYx.2007-2021.zip</v>
      </c>
    </row>
    <row r="1623" spans="1:10" x14ac:dyDescent="0.25">
      <c r="A1623" t="s">
        <v>6</v>
      </c>
      <c r="B1623" t="s">
        <v>58</v>
      </c>
      <c r="C1623" t="s">
        <v>825</v>
      </c>
      <c r="D1623">
        <v>714560</v>
      </c>
      <c r="E1623" t="s">
        <v>10</v>
      </c>
      <c r="F1623">
        <v>52.816699999999997</v>
      </c>
      <c r="G1623">
        <v>-104.6</v>
      </c>
      <c r="H1623">
        <v>-6</v>
      </c>
      <c r="I1623">
        <v>490</v>
      </c>
      <c r="J1623" t="str">
        <f>HYPERLINK("https://climate.onebuilding.org/WMO_Region_4_North_and_Central_America/CAN_Canada/SK_Saskatchewan/CAN_SK_Melfort.714560_TMYx.2009-2023.zip")</f>
        <v>https://climate.onebuilding.org/WMO_Region_4_North_and_Central_America/CAN_Canada/SK_Saskatchewan/CAN_SK_Melfort.714560_TMYx.2009-2023.zip</v>
      </c>
    </row>
    <row r="1624" spans="1:10" x14ac:dyDescent="0.25">
      <c r="A1624" t="s">
        <v>6</v>
      </c>
      <c r="B1624" t="s">
        <v>58</v>
      </c>
      <c r="C1624" t="s">
        <v>825</v>
      </c>
      <c r="D1624">
        <v>714560</v>
      </c>
      <c r="E1624" t="s">
        <v>10</v>
      </c>
      <c r="F1624">
        <v>52.816699999999997</v>
      </c>
      <c r="G1624">
        <v>-104.6</v>
      </c>
      <c r="H1624">
        <v>-6</v>
      </c>
      <c r="I1624">
        <v>490</v>
      </c>
      <c r="J1624" t="str">
        <f>HYPERLINK("https://climate.onebuilding.org/WMO_Region_4_North_and_Central_America/CAN_Canada/SK_Saskatchewan/CAN_SK_Melfort.714560_TMYx.zip")</f>
        <v>https://climate.onebuilding.org/WMO_Region_4_North_and_Central_America/CAN_Canada/SK_Saskatchewan/CAN_SK_Melfort.714560_TMYx.zip</v>
      </c>
    </row>
    <row r="1625" spans="1:10" x14ac:dyDescent="0.25">
      <c r="A1625" t="s">
        <v>6</v>
      </c>
      <c r="B1625" t="s">
        <v>17</v>
      </c>
      <c r="C1625" t="s">
        <v>827</v>
      </c>
      <c r="D1625">
        <v>714570</v>
      </c>
      <c r="E1625" t="s">
        <v>828</v>
      </c>
      <c r="F1625">
        <v>50.555300000000003</v>
      </c>
      <c r="G1625">
        <v>-111.8489</v>
      </c>
      <c r="H1625">
        <v>-7</v>
      </c>
      <c r="I1625">
        <v>747</v>
      </c>
      <c r="J1625" t="str">
        <f>HYPERLINK("https://climate.onebuilding.org/WMO_Region_4_North_and_Central_America/CAN_Canada/AB_Alberta/CAN_AB_Brooks.714570_TMYx.2004-2018.zip")</f>
        <v>https://climate.onebuilding.org/WMO_Region_4_North_and_Central_America/CAN_Canada/AB_Alberta/CAN_AB_Brooks.714570_TMYx.2004-2018.zip</v>
      </c>
    </row>
    <row r="1626" spans="1:10" x14ac:dyDescent="0.25">
      <c r="A1626" t="s">
        <v>6</v>
      </c>
      <c r="B1626" t="s">
        <v>17</v>
      </c>
      <c r="C1626" t="s">
        <v>827</v>
      </c>
      <c r="D1626">
        <v>714570</v>
      </c>
      <c r="E1626" t="s">
        <v>10</v>
      </c>
      <c r="F1626">
        <v>50.56</v>
      </c>
      <c r="G1626">
        <v>-111.85</v>
      </c>
      <c r="H1626">
        <v>-7</v>
      </c>
      <c r="I1626">
        <v>747</v>
      </c>
      <c r="J1626" t="str">
        <f>HYPERLINK("https://climate.onebuilding.org/WMO_Region_4_North_and_Central_America/CAN_Canada/AB_Alberta/CAN_AB_Brooks.714570_TMYx.2007-2021.zip")</f>
        <v>https://climate.onebuilding.org/WMO_Region_4_North_and_Central_America/CAN_Canada/AB_Alberta/CAN_AB_Brooks.714570_TMYx.2007-2021.zip</v>
      </c>
    </row>
    <row r="1627" spans="1:10" x14ac:dyDescent="0.25">
      <c r="A1627" t="s">
        <v>6</v>
      </c>
      <c r="B1627" t="s">
        <v>17</v>
      </c>
      <c r="C1627" t="s">
        <v>827</v>
      </c>
      <c r="D1627">
        <v>714570</v>
      </c>
      <c r="E1627" t="s">
        <v>10</v>
      </c>
      <c r="F1627">
        <v>50.56</v>
      </c>
      <c r="G1627">
        <v>-111.85</v>
      </c>
      <c r="H1627">
        <v>-7</v>
      </c>
      <c r="I1627">
        <v>747</v>
      </c>
      <c r="J1627" t="str">
        <f>HYPERLINK("https://climate.onebuilding.org/WMO_Region_4_North_and_Central_America/CAN_Canada/AB_Alberta/CAN_AB_Brooks.714570_TMYx.2009-2023.zip")</f>
        <v>https://climate.onebuilding.org/WMO_Region_4_North_and_Central_America/CAN_Canada/AB_Alberta/CAN_AB_Brooks.714570_TMYx.2009-2023.zip</v>
      </c>
    </row>
    <row r="1628" spans="1:10" x14ac:dyDescent="0.25">
      <c r="A1628" t="s">
        <v>6</v>
      </c>
      <c r="B1628" t="s">
        <v>17</v>
      </c>
      <c r="C1628" t="s">
        <v>827</v>
      </c>
      <c r="D1628">
        <v>714570</v>
      </c>
      <c r="E1628" t="s">
        <v>10</v>
      </c>
      <c r="F1628">
        <v>50.56</v>
      </c>
      <c r="G1628">
        <v>-111.85</v>
      </c>
      <c r="H1628">
        <v>-7</v>
      </c>
      <c r="I1628">
        <v>747</v>
      </c>
      <c r="J1628" t="str">
        <f>HYPERLINK("https://climate.onebuilding.org/WMO_Region_4_North_and_Central_America/CAN_Canada/AB_Alberta/CAN_AB_Brooks.714570_TMYx.zip")</f>
        <v>https://climate.onebuilding.org/WMO_Region_4_North_and_Central_America/CAN_Canada/AB_Alberta/CAN_AB_Brooks.714570_TMYx.zip</v>
      </c>
    </row>
    <row r="1629" spans="1:10" x14ac:dyDescent="0.25">
      <c r="A1629" t="s">
        <v>6</v>
      </c>
      <c r="B1629" t="s">
        <v>17</v>
      </c>
      <c r="C1629" t="s">
        <v>829</v>
      </c>
      <c r="D1629">
        <v>714580</v>
      </c>
      <c r="E1629" t="s">
        <v>830</v>
      </c>
      <c r="F1629">
        <v>53.517000000000003</v>
      </c>
      <c r="G1629">
        <v>-112.1</v>
      </c>
      <c r="H1629">
        <v>-7</v>
      </c>
      <c r="I1629">
        <v>639</v>
      </c>
      <c r="J1629" t="str">
        <f>HYPERLINK("https://climate.onebuilding.org/WMO_Region_4_North_and_Central_America/CAN_Canada/AB_Alberta/CAN_AB_Vegreville.714580_TMYx.2004-2018.zip")</f>
        <v>https://climate.onebuilding.org/WMO_Region_4_North_and_Central_America/CAN_Canada/AB_Alberta/CAN_AB_Vegreville.714580_TMYx.2004-2018.zip</v>
      </c>
    </row>
    <row r="1630" spans="1:10" x14ac:dyDescent="0.25">
      <c r="A1630" t="s">
        <v>6</v>
      </c>
      <c r="B1630" t="s">
        <v>17</v>
      </c>
      <c r="C1630" t="s">
        <v>829</v>
      </c>
      <c r="D1630">
        <v>714580</v>
      </c>
      <c r="E1630" t="s">
        <v>10</v>
      </c>
      <c r="F1630">
        <v>53.505279999999999</v>
      </c>
      <c r="G1630">
        <v>-112.09780000000001</v>
      </c>
      <c r="H1630">
        <v>-7</v>
      </c>
      <c r="I1630">
        <v>639</v>
      </c>
      <c r="J1630" t="str">
        <f>HYPERLINK("https://climate.onebuilding.org/WMO_Region_4_North_and_Central_America/CAN_Canada/AB_Alberta/CAN_AB_Vegreville.714580_TMYx.2007-2021.zip")</f>
        <v>https://climate.onebuilding.org/WMO_Region_4_North_and_Central_America/CAN_Canada/AB_Alberta/CAN_AB_Vegreville.714580_TMYx.2007-2021.zip</v>
      </c>
    </row>
    <row r="1631" spans="1:10" x14ac:dyDescent="0.25">
      <c r="A1631" t="s">
        <v>6</v>
      </c>
      <c r="B1631" t="s">
        <v>17</v>
      </c>
      <c r="C1631" t="s">
        <v>829</v>
      </c>
      <c r="D1631">
        <v>714580</v>
      </c>
      <c r="E1631" t="s">
        <v>10</v>
      </c>
      <c r="F1631">
        <v>53.505279999999999</v>
      </c>
      <c r="G1631">
        <v>-112.09780000000001</v>
      </c>
      <c r="H1631">
        <v>-7</v>
      </c>
      <c r="I1631">
        <v>639</v>
      </c>
      <c r="J1631" t="str">
        <f>HYPERLINK("https://climate.onebuilding.org/WMO_Region_4_North_and_Central_America/CAN_Canada/AB_Alberta/CAN_AB_Vegreville.714580_TMYx.2009-2023.zip")</f>
        <v>https://climate.onebuilding.org/WMO_Region_4_North_and_Central_America/CAN_Canada/AB_Alberta/CAN_AB_Vegreville.714580_TMYx.2009-2023.zip</v>
      </c>
    </row>
    <row r="1632" spans="1:10" x14ac:dyDescent="0.25">
      <c r="A1632" t="s">
        <v>6</v>
      </c>
      <c r="B1632" t="s">
        <v>17</v>
      </c>
      <c r="C1632" t="s">
        <v>829</v>
      </c>
      <c r="D1632">
        <v>714580</v>
      </c>
      <c r="E1632" t="s">
        <v>10</v>
      </c>
      <c r="F1632">
        <v>53.505279999999999</v>
      </c>
      <c r="G1632">
        <v>-112.09780000000001</v>
      </c>
      <c r="H1632">
        <v>-7</v>
      </c>
      <c r="I1632">
        <v>639</v>
      </c>
      <c r="J1632" t="str">
        <f>HYPERLINK("https://climate.onebuilding.org/WMO_Region_4_North_and_Central_America/CAN_Canada/AB_Alberta/CAN_AB_Vegreville.714580_TMYx.zip")</f>
        <v>https://climate.onebuilding.org/WMO_Region_4_North_and_Central_America/CAN_Canada/AB_Alberta/CAN_AB_Vegreville.714580_TMYx.zip</v>
      </c>
    </row>
    <row r="1633" spans="1:10" x14ac:dyDescent="0.25">
      <c r="A1633" t="s">
        <v>6</v>
      </c>
      <c r="B1633" t="s">
        <v>58</v>
      </c>
      <c r="C1633" t="s">
        <v>831</v>
      </c>
      <c r="D1633">
        <v>714590</v>
      </c>
      <c r="E1633" t="s">
        <v>832</v>
      </c>
      <c r="F1633">
        <v>50.877000000000002</v>
      </c>
      <c r="G1633">
        <v>-109.5014</v>
      </c>
      <c r="H1633">
        <v>-6</v>
      </c>
      <c r="I1633">
        <v>675.5</v>
      </c>
      <c r="J1633" t="str">
        <f>HYPERLINK("https://climate.onebuilding.org/WMO_Region_4_North_and_Central_America/CAN_Canada/SK_Saskatchewan/CAN_SK_Leader.AP.714590_TMYx.2004-2018.zip")</f>
        <v>https://climate.onebuilding.org/WMO_Region_4_North_and_Central_America/CAN_Canada/SK_Saskatchewan/CAN_SK_Leader.AP.714590_TMYx.2004-2018.zip</v>
      </c>
    </row>
    <row r="1634" spans="1:10" x14ac:dyDescent="0.25">
      <c r="A1634" t="s">
        <v>6</v>
      </c>
      <c r="B1634" t="s">
        <v>58</v>
      </c>
      <c r="C1634" t="s">
        <v>831</v>
      </c>
      <c r="D1634">
        <v>714590</v>
      </c>
      <c r="E1634" t="s">
        <v>10</v>
      </c>
      <c r="F1634">
        <v>50.877000000000002</v>
      </c>
      <c r="G1634">
        <v>-109.5014</v>
      </c>
      <c r="H1634">
        <v>-6</v>
      </c>
      <c r="I1634">
        <v>675.5</v>
      </c>
      <c r="J1634" t="str">
        <f>HYPERLINK("https://climate.onebuilding.org/WMO_Region_4_North_and_Central_America/CAN_Canada/SK_Saskatchewan/CAN_SK_Leader.AP.714590_TMYx.2007-2021.zip")</f>
        <v>https://climate.onebuilding.org/WMO_Region_4_North_and_Central_America/CAN_Canada/SK_Saskatchewan/CAN_SK_Leader.AP.714590_TMYx.2007-2021.zip</v>
      </c>
    </row>
    <row r="1635" spans="1:10" x14ac:dyDescent="0.25">
      <c r="A1635" t="s">
        <v>6</v>
      </c>
      <c r="B1635" t="s">
        <v>58</v>
      </c>
      <c r="C1635" t="s">
        <v>831</v>
      </c>
      <c r="D1635">
        <v>714590</v>
      </c>
      <c r="E1635" t="s">
        <v>10</v>
      </c>
      <c r="F1635">
        <v>50.877000000000002</v>
      </c>
      <c r="G1635">
        <v>-109.5014</v>
      </c>
      <c r="H1635">
        <v>-6</v>
      </c>
      <c r="I1635">
        <v>675.5</v>
      </c>
      <c r="J1635" t="str">
        <f>HYPERLINK("https://climate.onebuilding.org/WMO_Region_4_North_and_Central_America/CAN_Canada/SK_Saskatchewan/CAN_SK_Leader.AP.714590_TMYx.2009-2023.zip")</f>
        <v>https://climate.onebuilding.org/WMO_Region_4_North_and_Central_America/CAN_Canada/SK_Saskatchewan/CAN_SK_Leader.AP.714590_TMYx.2009-2023.zip</v>
      </c>
    </row>
    <row r="1636" spans="1:10" x14ac:dyDescent="0.25">
      <c r="A1636" t="s">
        <v>6</v>
      </c>
      <c r="B1636" t="s">
        <v>58</v>
      </c>
      <c r="C1636" t="s">
        <v>831</v>
      </c>
      <c r="D1636">
        <v>714590</v>
      </c>
      <c r="E1636" t="s">
        <v>10</v>
      </c>
      <c r="F1636">
        <v>50.877000000000002</v>
      </c>
      <c r="G1636">
        <v>-109.5014</v>
      </c>
      <c r="H1636">
        <v>-6</v>
      </c>
      <c r="I1636">
        <v>675.5</v>
      </c>
      <c r="J1636" t="str">
        <f>HYPERLINK("https://climate.onebuilding.org/WMO_Region_4_North_and_Central_America/CAN_Canada/SK_Saskatchewan/CAN_SK_Leader.AP.714590_TMYx.zip")</f>
        <v>https://climate.onebuilding.org/WMO_Region_4_North_and_Central_America/CAN_Canada/SK_Saskatchewan/CAN_SK_Leader.AP.714590_TMYx.zip</v>
      </c>
    </row>
    <row r="1637" spans="1:10" x14ac:dyDescent="0.25">
      <c r="A1637" t="s">
        <v>6</v>
      </c>
      <c r="B1637" t="s">
        <v>130</v>
      </c>
      <c r="C1637" t="s">
        <v>833</v>
      </c>
      <c r="D1637">
        <v>714600</v>
      </c>
      <c r="E1637" t="s">
        <v>834</v>
      </c>
      <c r="F1637">
        <v>45.978000000000002</v>
      </c>
      <c r="G1637">
        <v>-81.495000000000005</v>
      </c>
      <c r="H1637">
        <v>-5</v>
      </c>
      <c r="I1637">
        <v>196.3</v>
      </c>
      <c r="J1637" t="str">
        <f>HYPERLINK("https://climate.onebuilding.org/WMO_Region_4_North_and_Central_America/CAN_Canada/ON_Ontario/CAN_ON_Killarney.AP.714600_TMYx.2004-2018.zip")</f>
        <v>https://climate.onebuilding.org/WMO_Region_4_North_and_Central_America/CAN_Canada/ON_Ontario/CAN_ON_Killarney.AP.714600_TMYx.2004-2018.zip</v>
      </c>
    </row>
    <row r="1638" spans="1:10" x14ac:dyDescent="0.25">
      <c r="A1638" t="s">
        <v>6</v>
      </c>
      <c r="B1638" t="s">
        <v>130</v>
      </c>
      <c r="C1638" t="s">
        <v>833</v>
      </c>
      <c r="D1638">
        <v>714600</v>
      </c>
      <c r="E1638" t="s">
        <v>10</v>
      </c>
      <c r="F1638">
        <v>45.978000000000002</v>
      </c>
      <c r="G1638">
        <v>-81.495000000000005</v>
      </c>
      <c r="H1638">
        <v>-5</v>
      </c>
      <c r="I1638">
        <v>196.3</v>
      </c>
      <c r="J1638" t="str">
        <f>HYPERLINK("https://climate.onebuilding.org/WMO_Region_4_North_and_Central_America/CAN_Canada/ON_Ontario/CAN_ON_Killarney.AP.714600_TMYx.2007-2021.zip")</f>
        <v>https://climate.onebuilding.org/WMO_Region_4_North_and_Central_America/CAN_Canada/ON_Ontario/CAN_ON_Killarney.AP.714600_TMYx.2007-2021.zip</v>
      </c>
    </row>
    <row r="1639" spans="1:10" x14ac:dyDescent="0.25">
      <c r="A1639" t="s">
        <v>6</v>
      </c>
      <c r="B1639" t="s">
        <v>130</v>
      </c>
      <c r="C1639" t="s">
        <v>833</v>
      </c>
      <c r="D1639">
        <v>714600</v>
      </c>
      <c r="E1639" t="s">
        <v>10</v>
      </c>
      <c r="F1639">
        <v>45.978000000000002</v>
      </c>
      <c r="G1639">
        <v>-81.495000000000005</v>
      </c>
      <c r="H1639">
        <v>-5</v>
      </c>
      <c r="I1639">
        <v>196.3</v>
      </c>
      <c r="J1639" t="str">
        <f>HYPERLINK("https://climate.onebuilding.org/WMO_Region_4_North_and_Central_America/CAN_Canada/ON_Ontario/CAN_ON_Killarney.AP.714600_TMYx.2009-2023.zip")</f>
        <v>https://climate.onebuilding.org/WMO_Region_4_North_and_Central_America/CAN_Canada/ON_Ontario/CAN_ON_Killarney.AP.714600_TMYx.2009-2023.zip</v>
      </c>
    </row>
    <row r="1640" spans="1:10" x14ac:dyDescent="0.25">
      <c r="A1640" t="s">
        <v>6</v>
      </c>
      <c r="B1640" t="s">
        <v>130</v>
      </c>
      <c r="C1640" t="s">
        <v>833</v>
      </c>
      <c r="D1640">
        <v>714600</v>
      </c>
      <c r="E1640" t="s">
        <v>10</v>
      </c>
      <c r="F1640">
        <v>45.978000000000002</v>
      </c>
      <c r="G1640">
        <v>-81.495000000000005</v>
      </c>
      <c r="H1640">
        <v>-5</v>
      </c>
      <c r="I1640">
        <v>196.3</v>
      </c>
      <c r="J1640" t="str">
        <f>HYPERLINK("https://climate.onebuilding.org/WMO_Region_4_North_and_Central_America/CAN_Canada/ON_Ontario/CAN_ON_Killarney.AP.714600_TMYx.zip")</f>
        <v>https://climate.onebuilding.org/WMO_Region_4_North_and_Central_America/CAN_Canada/ON_Ontario/CAN_ON_Killarney.AP.714600_TMYx.zip</v>
      </c>
    </row>
    <row r="1641" spans="1:10" x14ac:dyDescent="0.25">
      <c r="A1641" t="s">
        <v>6</v>
      </c>
      <c r="B1641" t="s">
        <v>17</v>
      </c>
      <c r="C1641" t="s">
        <v>835</v>
      </c>
      <c r="D1641">
        <v>714610</v>
      </c>
      <c r="E1641" t="s">
        <v>836</v>
      </c>
      <c r="F1641">
        <v>55.808100000000003</v>
      </c>
      <c r="G1641">
        <v>-117.8867</v>
      </c>
      <c r="H1641">
        <v>-7</v>
      </c>
      <c r="I1641">
        <v>563</v>
      </c>
      <c r="J1641" t="str">
        <f>HYPERLINK("https://climate.onebuilding.org/WMO_Region_4_North_and_Central_America/CAN_Canada/AB_Alberta/CAN_AB_Eaglesham.AgCM.714610_TMYx.2004-2018.zip")</f>
        <v>https://climate.onebuilding.org/WMO_Region_4_North_and_Central_America/CAN_Canada/AB_Alberta/CAN_AB_Eaglesham.AgCM.714610_TMYx.2004-2018.zip</v>
      </c>
    </row>
    <row r="1642" spans="1:10" x14ac:dyDescent="0.25">
      <c r="A1642" t="s">
        <v>6</v>
      </c>
      <c r="B1642" t="s">
        <v>17</v>
      </c>
      <c r="C1642" t="s">
        <v>835</v>
      </c>
      <c r="D1642">
        <v>714610</v>
      </c>
      <c r="E1642" t="s">
        <v>10</v>
      </c>
      <c r="F1642">
        <v>55.808100000000003</v>
      </c>
      <c r="G1642">
        <v>-117.8867</v>
      </c>
      <c r="H1642">
        <v>-7</v>
      </c>
      <c r="I1642">
        <v>563</v>
      </c>
      <c r="J1642" t="str">
        <f>HYPERLINK("https://climate.onebuilding.org/WMO_Region_4_North_and_Central_America/CAN_Canada/AB_Alberta/CAN_AB_Eaglesham.AgCM.714610_TMYx.2007-2021.zip")</f>
        <v>https://climate.onebuilding.org/WMO_Region_4_North_and_Central_America/CAN_Canada/AB_Alberta/CAN_AB_Eaglesham.AgCM.714610_TMYx.2007-2021.zip</v>
      </c>
    </row>
    <row r="1643" spans="1:10" x14ac:dyDescent="0.25">
      <c r="A1643" t="s">
        <v>6</v>
      </c>
      <c r="B1643" t="s">
        <v>17</v>
      </c>
      <c r="C1643" t="s">
        <v>835</v>
      </c>
      <c r="D1643">
        <v>714610</v>
      </c>
      <c r="E1643" t="s">
        <v>10</v>
      </c>
      <c r="F1643">
        <v>55.808100000000003</v>
      </c>
      <c r="G1643">
        <v>-117.8867</v>
      </c>
      <c r="H1643">
        <v>-7</v>
      </c>
      <c r="I1643">
        <v>563</v>
      </c>
      <c r="J1643" t="str">
        <f>HYPERLINK("https://climate.onebuilding.org/WMO_Region_4_North_and_Central_America/CAN_Canada/AB_Alberta/CAN_AB_Eaglesham.AgCM.714610_TMYx.2009-2023.zip")</f>
        <v>https://climate.onebuilding.org/WMO_Region_4_North_and_Central_America/CAN_Canada/AB_Alberta/CAN_AB_Eaglesham.AgCM.714610_TMYx.2009-2023.zip</v>
      </c>
    </row>
    <row r="1644" spans="1:10" x14ac:dyDescent="0.25">
      <c r="A1644" t="s">
        <v>6</v>
      </c>
      <c r="B1644" t="s">
        <v>17</v>
      </c>
      <c r="C1644" t="s">
        <v>835</v>
      </c>
      <c r="D1644">
        <v>714610</v>
      </c>
      <c r="E1644" t="s">
        <v>10</v>
      </c>
      <c r="F1644">
        <v>55.808100000000003</v>
      </c>
      <c r="G1644">
        <v>-117.8867</v>
      </c>
      <c r="H1644">
        <v>-7</v>
      </c>
      <c r="I1644">
        <v>563</v>
      </c>
      <c r="J1644" t="str">
        <f>HYPERLINK("https://climate.onebuilding.org/WMO_Region_4_North_and_Central_America/CAN_Canada/AB_Alberta/CAN_AB_Eaglesham.AgCM.714610_TMYx.zip")</f>
        <v>https://climate.onebuilding.org/WMO_Region_4_North_and_Central_America/CAN_Canada/AB_Alberta/CAN_AB_Eaglesham.AgCM.714610_TMYx.zip</v>
      </c>
    </row>
    <row r="1645" spans="1:10" x14ac:dyDescent="0.25">
      <c r="A1645" t="s">
        <v>6</v>
      </c>
      <c r="B1645" t="s">
        <v>130</v>
      </c>
      <c r="C1645" t="s">
        <v>837</v>
      </c>
      <c r="D1645">
        <v>714620</v>
      </c>
      <c r="E1645" t="s">
        <v>838</v>
      </c>
      <c r="F1645">
        <v>45.633000000000003</v>
      </c>
      <c r="G1645">
        <v>-82.966999999999999</v>
      </c>
      <c r="H1645">
        <v>-5</v>
      </c>
      <c r="I1645">
        <v>183</v>
      </c>
      <c r="J1645" t="str">
        <f>HYPERLINK("https://climate.onebuilding.org/WMO_Region_4_North_and_Central_America/CAN_Canada/ON_Ontario/CAN_ON_Great.Duck.Island.714620_TMYx.2004-2018.zip")</f>
        <v>https://climate.onebuilding.org/WMO_Region_4_North_and_Central_America/CAN_Canada/ON_Ontario/CAN_ON_Great.Duck.Island.714620_TMYx.2004-2018.zip</v>
      </c>
    </row>
    <row r="1646" spans="1:10" x14ac:dyDescent="0.25">
      <c r="A1646" t="s">
        <v>6</v>
      </c>
      <c r="B1646" t="s">
        <v>130</v>
      </c>
      <c r="C1646" t="s">
        <v>837</v>
      </c>
      <c r="D1646">
        <v>714620</v>
      </c>
      <c r="E1646" t="s">
        <v>10</v>
      </c>
      <c r="F1646">
        <v>45.642000000000003</v>
      </c>
      <c r="G1646">
        <v>-82.962000000000003</v>
      </c>
      <c r="H1646">
        <v>-5</v>
      </c>
      <c r="I1646">
        <v>183</v>
      </c>
      <c r="J1646" t="str">
        <f>HYPERLINK("https://climate.onebuilding.org/WMO_Region_4_North_and_Central_America/CAN_Canada/ON_Ontario/CAN_ON_Great.Duck.Island.714620_TMYx.2007-2021.zip")</f>
        <v>https://climate.onebuilding.org/WMO_Region_4_North_and_Central_America/CAN_Canada/ON_Ontario/CAN_ON_Great.Duck.Island.714620_TMYx.2007-2021.zip</v>
      </c>
    </row>
    <row r="1647" spans="1:10" x14ac:dyDescent="0.25">
      <c r="A1647" t="s">
        <v>6</v>
      </c>
      <c r="B1647" t="s">
        <v>130</v>
      </c>
      <c r="C1647" t="s">
        <v>837</v>
      </c>
      <c r="D1647">
        <v>714620</v>
      </c>
      <c r="E1647" t="s">
        <v>10</v>
      </c>
      <c r="F1647">
        <v>45.642000000000003</v>
      </c>
      <c r="G1647">
        <v>-82.962000000000003</v>
      </c>
      <c r="H1647">
        <v>-5</v>
      </c>
      <c r="I1647">
        <v>183</v>
      </c>
      <c r="J1647" t="str">
        <f>HYPERLINK("https://climate.onebuilding.org/WMO_Region_4_North_and_Central_America/CAN_Canada/ON_Ontario/CAN_ON_Great.Duck.Island.714620_TMYx.2009-2023.zip")</f>
        <v>https://climate.onebuilding.org/WMO_Region_4_North_and_Central_America/CAN_Canada/ON_Ontario/CAN_ON_Great.Duck.Island.714620_TMYx.2009-2023.zip</v>
      </c>
    </row>
    <row r="1648" spans="1:10" x14ac:dyDescent="0.25">
      <c r="A1648" t="s">
        <v>6</v>
      </c>
      <c r="B1648" t="s">
        <v>130</v>
      </c>
      <c r="C1648" t="s">
        <v>837</v>
      </c>
      <c r="D1648">
        <v>714620</v>
      </c>
      <c r="E1648" t="s">
        <v>10</v>
      </c>
      <c r="F1648">
        <v>45.642000000000003</v>
      </c>
      <c r="G1648">
        <v>-82.962000000000003</v>
      </c>
      <c r="H1648">
        <v>-5</v>
      </c>
      <c r="I1648">
        <v>183</v>
      </c>
      <c r="J1648" t="str">
        <f>HYPERLINK("https://climate.onebuilding.org/WMO_Region_4_North_and_Central_America/CAN_Canada/ON_Ontario/CAN_ON_Great.Duck.Island.714620_TMYx.zip")</f>
        <v>https://climate.onebuilding.org/WMO_Region_4_North_and_Central_America/CAN_Canada/ON_Ontario/CAN_ON_Great.Duck.Island.714620_TMYx.zip</v>
      </c>
    </row>
    <row r="1649" spans="1:10" x14ac:dyDescent="0.25">
      <c r="A1649" t="s">
        <v>6</v>
      </c>
      <c r="B1649" t="s">
        <v>130</v>
      </c>
      <c r="C1649" t="s">
        <v>839</v>
      </c>
      <c r="D1649">
        <v>714630</v>
      </c>
      <c r="E1649" t="s">
        <v>10</v>
      </c>
      <c r="F1649">
        <v>42.866700000000002</v>
      </c>
      <c r="G1649">
        <v>-79.25</v>
      </c>
      <c r="H1649">
        <v>-5</v>
      </c>
      <c r="I1649">
        <v>183.5</v>
      </c>
      <c r="J1649" t="str">
        <f>HYPERLINK("https://climate.onebuilding.org/WMO_Region_4_North_and_Central_America/CAN_Canada/ON_Ontario/CAN_ON_Port.Colborne.714630_TMYx.2007-2021.zip")</f>
        <v>https://climate.onebuilding.org/WMO_Region_4_North_and_Central_America/CAN_Canada/ON_Ontario/CAN_ON_Port.Colborne.714630_TMYx.2007-2021.zip</v>
      </c>
    </row>
    <row r="1650" spans="1:10" x14ac:dyDescent="0.25">
      <c r="A1650" t="s">
        <v>6</v>
      </c>
      <c r="B1650" t="s">
        <v>130</v>
      </c>
      <c r="C1650" t="s">
        <v>839</v>
      </c>
      <c r="D1650">
        <v>714630</v>
      </c>
      <c r="E1650" t="s">
        <v>10</v>
      </c>
      <c r="F1650">
        <v>42.866700000000002</v>
      </c>
      <c r="G1650">
        <v>-79.25</v>
      </c>
      <c r="H1650">
        <v>-5</v>
      </c>
      <c r="I1650">
        <v>183.5</v>
      </c>
      <c r="J1650" t="str">
        <f>HYPERLINK("https://climate.onebuilding.org/WMO_Region_4_North_and_Central_America/CAN_Canada/ON_Ontario/CAN_ON_Port.Colborne.714630_TMYx.2009-2023.zip")</f>
        <v>https://climate.onebuilding.org/WMO_Region_4_North_and_Central_America/CAN_Canada/ON_Ontario/CAN_ON_Port.Colborne.714630_TMYx.2009-2023.zip</v>
      </c>
    </row>
    <row r="1651" spans="1:10" x14ac:dyDescent="0.25">
      <c r="A1651" t="s">
        <v>6</v>
      </c>
      <c r="B1651" t="s">
        <v>130</v>
      </c>
      <c r="C1651" t="s">
        <v>839</v>
      </c>
      <c r="D1651">
        <v>714630</v>
      </c>
      <c r="E1651" t="s">
        <v>10</v>
      </c>
      <c r="F1651">
        <v>42.866700000000002</v>
      </c>
      <c r="G1651">
        <v>-79.25</v>
      </c>
      <c r="H1651">
        <v>-5</v>
      </c>
      <c r="I1651">
        <v>183.5</v>
      </c>
      <c r="J1651" t="str">
        <f>HYPERLINK("https://climate.onebuilding.org/WMO_Region_4_North_and_Central_America/CAN_Canada/ON_Ontario/CAN_ON_Port.Colborne.714630_TMYx.zip")</f>
        <v>https://climate.onebuilding.org/WMO_Region_4_North_and_Central_America/CAN_Canada/ON_Ontario/CAN_ON_Port.Colborne.714630_TMYx.zip</v>
      </c>
    </row>
    <row r="1652" spans="1:10" x14ac:dyDescent="0.25">
      <c r="A1652" t="s">
        <v>6</v>
      </c>
      <c r="B1652" t="s">
        <v>130</v>
      </c>
      <c r="C1652" t="s">
        <v>840</v>
      </c>
      <c r="D1652">
        <v>714640</v>
      </c>
      <c r="E1652" t="s">
        <v>841</v>
      </c>
      <c r="F1652">
        <v>42.547899999999998</v>
      </c>
      <c r="G1652">
        <v>-80.050899999999999</v>
      </c>
      <c r="H1652">
        <v>-5</v>
      </c>
      <c r="I1652">
        <v>170</v>
      </c>
      <c r="J1652" t="str">
        <f>HYPERLINK("https://climate.onebuilding.org/WMO_Region_4_North_and_Central_America/CAN_Canada/ON_Ontario/CAN_ON_Long.Point.Lighthouse.714640_TMYx.2004-2018.zip")</f>
        <v>https://climate.onebuilding.org/WMO_Region_4_North_and_Central_America/CAN_Canada/ON_Ontario/CAN_ON_Long.Point.Lighthouse.714640_TMYx.2004-2018.zip</v>
      </c>
    </row>
    <row r="1653" spans="1:10" x14ac:dyDescent="0.25">
      <c r="A1653" t="s">
        <v>6</v>
      </c>
      <c r="B1653" t="s">
        <v>130</v>
      </c>
      <c r="C1653" t="s">
        <v>840</v>
      </c>
      <c r="D1653">
        <v>714640</v>
      </c>
      <c r="E1653" t="s">
        <v>10</v>
      </c>
      <c r="F1653">
        <v>42.5486</v>
      </c>
      <c r="G1653">
        <v>-80.049199999999999</v>
      </c>
      <c r="H1653">
        <v>-5</v>
      </c>
      <c r="I1653">
        <v>170</v>
      </c>
      <c r="J1653" t="str">
        <f>HYPERLINK("https://climate.onebuilding.org/WMO_Region_4_North_and_Central_America/CAN_Canada/ON_Ontario/CAN_ON_Long.Point.Lighthouse.714640_TMYx.2007-2021.zip")</f>
        <v>https://climate.onebuilding.org/WMO_Region_4_North_and_Central_America/CAN_Canada/ON_Ontario/CAN_ON_Long.Point.Lighthouse.714640_TMYx.2007-2021.zip</v>
      </c>
    </row>
    <row r="1654" spans="1:10" x14ac:dyDescent="0.25">
      <c r="A1654" t="s">
        <v>6</v>
      </c>
      <c r="B1654" t="s">
        <v>130</v>
      </c>
      <c r="C1654" t="s">
        <v>840</v>
      </c>
      <c r="D1654">
        <v>714640</v>
      </c>
      <c r="E1654" t="s">
        <v>10</v>
      </c>
      <c r="F1654">
        <v>42.5486</v>
      </c>
      <c r="G1654">
        <v>-80.049199999999999</v>
      </c>
      <c r="H1654">
        <v>-5</v>
      </c>
      <c r="I1654">
        <v>170</v>
      </c>
      <c r="J1654" t="str">
        <f>HYPERLINK("https://climate.onebuilding.org/WMO_Region_4_North_and_Central_America/CAN_Canada/ON_Ontario/CAN_ON_Long.Point.Lighthouse.714640_TMYx.2009-2023.zip")</f>
        <v>https://climate.onebuilding.org/WMO_Region_4_North_and_Central_America/CAN_Canada/ON_Ontario/CAN_ON_Long.Point.Lighthouse.714640_TMYx.2009-2023.zip</v>
      </c>
    </row>
    <row r="1655" spans="1:10" x14ac:dyDescent="0.25">
      <c r="A1655" t="s">
        <v>6</v>
      </c>
      <c r="B1655" t="s">
        <v>130</v>
      </c>
      <c r="C1655" t="s">
        <v>840</v>
      </c>
      <c r="D1655">
        <v>714640</v>
      </c>
      <c r="E1655" t="s">
        <v>10</v>
      </c>
      <c r="F1655">
        <v>42.5486</v>
      </c>
      <c r="G1655">
        <v>-80.049199999999999</v>
      </c>
      <c r="H1655">
        <v>-5</v>
      </c>
      <c r="I1655">
        <v>170</v>
      </c>
      <c r="J1655" t="str">
        <f>HYPERLINK("https://climate.onebuilding.org/WMO_Region_4_North_and_Central_America/CAN_Canada/ON_Ontario/CAN_ON_Long.Point.Lighthouse.714640_TMYx.zip")</f>
        <v>https://climate.onebuilding.org/WMO_Region_4_North_and_Central_America/CAN_Canada/ON_Ontario/CAN_ON_Long.Point.Lighthouse.714640_TMYx.zip</v>
      </c>
    </row>
    <row r="1656" spans="1:10" x14ac:dyDescent="0.25">
      <c r="A1656" t="s">
        <v>6</v>
      </c>
      <c r="B1656" t="s">
        <v>130</v>
      </c>
      <c r="C1656" t="s">
        <v>842</v>
      </c>
      <c r="D1656">
        <v>714650</v>
      </c>
      <c r="E1656" t="s">
        <v>843</v>
      </c>
      <c r="F1656">
        <v>42.25</v>
      </c>
      <c r="G1656">
        <v>-81.900300000000001</v>
      </c>
      <c r="H1656">
        <v>-5</v>
      </c>
      <c r="I1656">
        <v>178</v>
      </c>
      <c r="J1656" t="str">
        <f>HYPERLINK("https://climate.onebuilding.org/WMO_Region_4_North_and_Central_America/CAN_Canada/ON_Ontario/CAN_ON_Erieau.714650_TMYx.2004-2018.zip")</f>
        <v>https://climate.onebuilding.org/WMO_Region_4_North_and_Central_America/CAN_Canada/ON_Ontario/CAN_ON_Erieau.714650_TMYx.2004-2018.zip</v>
      </c>
    </row>
    <row r="1657" spans="1:10" x14ac:dyDescent="0.25">
      <c r="A1657" t="s">
        <v>6</v>
      </c>
      <c r="B1657" t="s">
        <v>130</v>
      </c>
      <c r="C1657" t="s">
        <v>842</v>
      </c>
      <c r="D1657">
        <v>714650</v>
      </c>
      <c r="E1657" t="s">
        <v>10</v>
      </c>
      <c r="F1657">
        <v>42.256999999999998</v>
      </c>
      <c r="G1657">
        <v>-81.908500000000004</v>
      </c>
      <c r="H1657">
        <v>-5</v>
      </c>
      <c r="I1657">
        <v>178</v>
      </c>
      <c r="J1657" t="str">
        <f>HYPERLINK("https://climate.onebuilding.org/WMO_Region_4_North_and_Central_America/CAN_Canada/ON_Ontario/CAN_ON_Erieau.714650_TMYx.2007-2021.zip")</f>
        <v>https://climate.onebuilding.org/WMO_Region_4_North_and_Central_America/CAN_Canada/ON_Ontario/CAN_ON_Erieau.714650_TMYx.2007-2021.zip</v>
      </c>
    </row>
    <row r="1658" spans="1:10" x14ac:dyDescent="0.25">
      <c r="A1658" t="s">
        <v>6</v>
      </c>
      <c r="B1658" t="s">
        <v>130</v>
      </c>
      <c r="C1658" t="s">
        <v>842</v>
      </c>
      <c r="D1658">
        <v>714650</v>
      </c>
      <c r="E1658" t="s">
        <v>10</v>
      </c>
      <c r="F1658">
        <v>42.256999999999998</v>
      </c>
      <c r="G1658">
        <v>-81.908500000000004</v>
      </c>
      <c r="H1658">
        <v>-5</v>
      </c>
      <c r="I1658">
        <v>178</v>
      </c>
      <c r="J1658" t="str">
        <f>HYPERLINK("https://climate.onebuilding.org/WMO_Region_4_North_and_Central_America/CAN_Canada/ON_Ontario/CAN_ON_Erieau.714650_TMYx.2009-2023.zip")</f>
        <v>https://climate.onebuilding.org/WMO_Region_4_North_and_Central_America/CAN_Canada/ON_Ontario/CAN_ON_Erieau.714650_TMYx.2009-2023.zip</v>
      </c>
    </row>
    <row r="1659" spans="1:10" x14ac:dyDescent="0.25">
      <c r="A1659" t="s">
        <v>6</v>
      </c>
      <c r="B1659" t="s">
        <v>130</v>
      </c>
      <c r="C1659" t="s">
        <v>842</v>
      </c>
      <c r="D1659">
        <v>714650</v>
      </c>
      <c r="E1659" t="s">
        <v>10</v>
      </c>
      <c r="F1659">
        <v>42.256999999999998</v>
      </c>
      <c r="G1659">
        <v>-81.908500000000004</v>
      </c>
      <c r="H1659">
        <v>-5</v>
      </c>
      <c r="I1659">
        <v>178</v>
      </c>
      <c r="J1659" t="str">
        <f>HYPERLINK("https://climate.onebuilding.org/WMO_Region_4_North_and_Central_America/CAN_Canada/ON_Ontario/CAN_ON_Erieau.714650_TMYx.zip")</f>
        <v>https://climate.onebuilding.org/WMO_Region_4_North_and_Central_America/CAN_Canada/ON_Ontario/CAN_ON_Erieau.714650_TMYx.zip</v>
      </c>
    </row>
    <row r="1660" spans="1:10" x14ac:dyDescent="0.25">
      <c r="A1660" t="s">
        <v>6</v>
      </c>
      <c r="B1660" t="s">
        <v>130</v>
      </c>
      <c r="C1660" t="s">
        <v>844</v>
      </c>
      <c r="D1660">
        <v>714660</v>
      </c>
      <c r="E1660" t="s">
        <v>10</v>
      </c>
      <c r="F1660">
        <v>41.833300000000001</v>
      </c>
      <c r="G1660">
        <v>-82.466700000000003</v>
      </c>
      <c r="H1660">
        <v>-5</v>
      </c>
      <c r="I1660">
        <v>195.3</v>
      </c>
      <c r="J1660" t="str">
        <f>HYPERLINK("https://climate.onebuilding.org/WMO_Region_4_North_and_Central_America/CAN_Canada/ON_Ontario/CAN_ON_Southeast.Shoal.714660_TMYx.2007-2021.zip")</f>
        <v>https://climate.onebuilding.org/WMO_Region_4_North_and_Central_America/CAN_Canada/ON_Ontario/CAN_ON_Southeast.Shoal.714660_TMYx.2007-2021.zip</v>
      </c>
    </row>
    <row r="1661" spans="1:10" x14ac:dyDescent="0.25">
      <c r="A1661" t="s">
        <v>6</v>
      </c>
      <c r="B1661" t="s">
        <v>130</v>
      </c>
      <c r="C1661" t="s">
        <v>844</v>
      </c>
      <c r="D1661">
        <v>714660</v>
      </c>
      <c r="E1661" t="s">
        <v>10</v>
      </c>
      <c r="F1661">
        <v>41.833300000000001</v>
      </c>
      <c r="G1661">
        <v>-82.466700000000003</v>
      </c>
      <c r="H1661">
        <v>-5</v>
      </c>
      <c r="I1661">
        <v>195.3</v>
      </c>
      <c r="J1661" t="str">
        <f>HYPERLINK("https://climate.onebuilding.org/WMO_Region_4_North_and_Central_America/CAN_Canada/ON_Ontario/CAN_ON_Southeast.Shoal.714660_TMYx.2009-2023.zip")</f>
        <v>https://climate.onebuilding.org/WMO_Region_4_North_and_Central_America/CAN_Canada/ON_Ontario/CAN_ON_Southeast.Shoal.714660_TMYx.2009-2023.zip</v>
      </c>
    </row>
    <row r="1662" spans="1:10" x14ac:dyDescent="0.25">
      <c r="A1662" t="s">
        <v>6</v>
      </c>
      <c r="B1662" t="s">
        <v>130</v>
      </c>
      <c r="C1662" t="s">
        <v>844</v>
      </c>
      <c r="D1662">
        <v>714660</v>
      </c>
      <c r="E1662" t="s">
        <v>10</v>
      </c>
      <c r="F1662">
        <v>41.833300000000001</v>
      </c>
      <c r="G1662">
        <v>-82.466700000000003</v>
      </c>
      <c r="H1662">
        <v>-5</v>
      </c>
      <c r="I1662">
        <v>195.3</v>
      </c>
      <c r="J1662" t="str">
        <f>HYPERLINK("https://climate.onebuilding.org/WMO_Region_4_North_and_Central_America/CAN_Canada/ON_Ontario/CAN_ON_Southeast.Shoal.714660_TMYx.zip")</f>
        <v>https://climate.onebuilding.org/WMO_Region_4_North_and_Central_America/CAN_Canada/ON_Ontario/CAN_ON_Southeast.Shoal.714660_TMYx.zip</v>
      </c>
    </row>
    <row r="1663" spans="1:10" x14ac:dyDescent="0.25">
      <c r="A1663" t="s">
        <v>6</v>
      </c>
      <c r="B1663" t="s">
        <v>48</v>
      </c>
      <c r="C1663" t="s">
        <v>845</v>
      </c>
      <c r="D1663">
        <v>714670</v>
      </c>
      <c r="E1663" t="s">
        <v>846</v>
      </c>
      <c r="F1663">
        <v>71.992500000000007</v>
      </c>
      <c r="G1663">
        <v>-125.2542</v>
      </c>
      <c r="H1663">
        <v>-7</v>
      </c>
      <c r="I1663">
        <v>88</v>
      </c>
      <c r="J1663" t="str">
        <f>HYPERLINK("https://climate.onebuilding.org/WMO_Region_4_North_and_Central_America/CAN_Canada/NT_Northwest_Territories/CAN_NT_Sachs.Harbour.AP.714670_TMYx.2004-2018.zip")</f>
        <v>https://climate.onebuilding.org/WMO_Region_4_North_and_Central_America/CAN_Canada/NT_Northwest_Territories/CAN_NT_Sachs.Harbour.AP.714670_TMYx.2004-2018.zip</v>
      </c>
    </row>
    <row r="1664" spans="1:10" x14ac:dyDescent="0.25">
      <c r="A1664" t="s">
        <v>6</v>
      </c>
      <c r="B1664" t="s">
        <v>48</v>
      </c>
      <c r="C1664" t="s">
        <v>845</v>
      </c>
      <c r="D1664">
        <v>714670</v>
      </c>
      <c r="E1664" t="s">
        <v>10</v>
      </c>
      <c r="F1664">
        <v>71.992500000000007</v>
      </c>
      <c r="G1664">
        <v>-125.2542</v>
      </c>
      <c r="H1664">
        <v>-7</v>
      </c>
      <c r="I1664">
        <v>88</v>
      </c>
      <c r="J1664" t="str">
        <f>HYPERLINK("https://climate.onebuilding.org/WMO_Region_4_North_and_Central_America/CAN_Canada/NT_Northwest_Territories/CAN_NT_Sachs.Harbour.AP.714670_TMYx.2007-2021.zip")</f>
        <v>https://climate.onebuilding.org/WMO_Region_4_North_and_Central_America/CAN_Canada/NT_Northwest_Territories/CAN_NT_Sachs.Harbour.AP.714670_TMYx.2007-2021.zip</v>
      </c>
    </row>
    <row r="1665" spans="1:10" x14ac:dyDescent="0.25">
      <c r="A1665" t="s">
        <v>6</v>
      </c>
      <c r="B1665" t="s">
        <v>48</v>
      </c>
      <c r="C1665" t="s">
        <v>845</v>
      </c>
      <c r="D1665">
        <v>714670</v>
      </c>
      <c r="E1665" t="s">
        <v>10</v>
      </c>
      <c r="F1665">
        <v>71.992500000000007</v>
      </c>
      <c r="G1665">
        <v>-125.2542</v>
      </c>
      <c r="H1665">
        <v>-7</v>
      </c>
      <c r="I1665">
        <v>88</v>
      </c>
      <c r="J1665" t="str">
        <f>HYPERLINK("https://climate.onebuilding.org/WMO_Region_4_North_and_Central_America/CAN_Canada/NT_Northwest_Territories/CAN_NT_Sachs.Harbour.AP.714670_TMYx.2009-2023.zip")</f>
        <v>https://climate.onebuilding.org/WMO_Region_4_North_and_Central_America/CAN_Canada/NT_Northwest_Territories/CAN_NT_Sachs.Harbour.AP.714670_TMYx.2009-2023.zip</v>
      </c>
    </row>
    <row r="1666" spans="1:10" x14ac:dyDescent="0.25">
      <c r="A1666" t="s">
        <v>6</v>
      </c>
      <c r="B1666" t="s">
        <v>48</v>
      </c>
      <c r="C1666" t="s">
        <v>845</v>
      </c>
      <c r="D1666">
        <v>714670</v>
      </c>
      <c r="E1666" t="s">
        <v>10</v>
      </c>
      <c r="F1666">
        <v>71.992500000000007</v>
      </c>
      <c r="G1666">
        <v>-125.2542</v>
      </c>
      <c r="H1666">
        <v>-7</v>
      </c>
      <c r="I1666">
        <v>88</v>
      </c>
      <c r="J1666" t="str">
        <f>HYPERLINK("https://climate.onebuilding.org/WMO_Region_4_North_and_Central_America/CAN_Canada/NT_Northwest_Territories/CAN_NT_Sachs.Harbour.AP.714670_TMYx.zip")</f>
        <v>https://climate.onebuilding.org/WMO_Region_4_North_and_Central_America/CAN_Canada/NT_Northwest_Territories/CAN_NT_Sachs.Harbour.AP.714670_TMYx.zip</v>
      </c>
    </row>
    <row r="1667" spans="1:10" x14ac:dyDescent="0.25">
      <c r="A1667" t="s">
        <v>6</v>
      </c>
      <c r="B1667" t="s">
        <v>130</v>
      </c>
      <c r="C1667" t="s">
        <v>847</v>
      </c>
      <c r="D1667">
        <v>714680</v>
      </c>
      <c r="E1667" t="s">
        <v>848</v>
      </c>
      <c r="F1667">
        <v>49.716670000000001</v>
      </c>
      <c r="G1667">
        <v>-88.333330000000004</v>
      </c>
      <c r="H1667">
        <v>-5</v>
      </c>
      <c r="I1667">
        <v>260</v>
      </c>
      <c r="J1667" t="str">
        <f>HYPERLINK("https://climate.onebuilding.org/WMO_Region_4_North_and_Central_America/CAN_Canada/ON_Ontario/CAN_ON_Katatota.Island.MS-Flatland.Island.714680_TMYx.2004-2018.zip")</f>
        <v>https://climate.onebuilding.org/WMO_Region_4_North_and_Central_America/CAN_Canada/ON_Ontario/CAN_ON_Katatota.Island.MS-Flatland.Island.714680_TMYx.2004-2018.zip</v>
      </c>
    </row>
    <row r="1668" spans="1:10" x14ac:dyDescent="0.25">
      <c r="A1668" t="s">
        <v>6</v>
      </c>
      <c r="B1668" t="s">
        <v>130</v>
      </c>
      <c r="C1668" t="s">
        <v>847</v>
      </c>
      <c r="D1668">
        <v>714680</v>
      </c>
      <c r="E1668" t="s">
        <v>10</v>
      </c>
      <c r="F1668">
        <v>49.716670000000001</v>
      </c>
      <c r="G1668">
        <v>-88.333330000000004</v>
      </c>
      <c r="H1668">
        <v>-5</v>
      </c>
      <c r="I1668">
        <v>260</v>
      </c>
      <c r="J1668" t="str">
        <f>HYPERLINK("https://climate.onebuilding.org/WMO_Region_4_North_and_Central_America/CAN_Canada/ON_Ontario/CAN_ON_Katatota.Island.MS-Flatland.Island.714680_TMYx.2007-2021.zip")</f>
        <v>https://climate.onebuilding.org/WMO_Region_4_North_and_Central_America/CAN_Canada/ON_Ontario/CAN_ON_Katatota.Island.MS-Flatland.Island.714680_TMYx.2007-2021.zip</v>
      </c>
    </row>
    <row r="1669" spans="1:10" x14ac:dyDescent="0.25">
      <c r="A1669" t="s">
        <v>6</v>
      </c>
      <c r="B1669" t="s">
        <v>130</v>
      </c>
      <c r="C1669" t="s">
        <v>847</v>
      </c>
      <c r="D1669">
        <v>714680</v>
      </c>
      <c r="E1669" t="s">
        <v>10</v>
      </c>
      <c r="F1669">
        <v>49.716670000000001</v>
      </c>
      <c r="G1669">
        <v>-88.333330000000004</v>
      </c>
      <c r="H1669">
        <v>-5</v>
      </c>
      <c r="I1669">
        <v>260</v>
      </c>
      <c r="J1669" t="str">
        <f>HYPERLINK("https://climate.onebuilding.org/WMO_Region_4_North_and_Central_America/CAN_Canada/ON_Ontario/CAN_ON_Katatota.Island.MS-Flatland.Island.714680_TMYx.2009-2023.zip")</f>
        <v>https://climate.onebuilding.org/WMO_Region_4_North_and_Central_America/CAN_Canada/ON_Ontario/CAN_ON_Katatota.Island.MS-Flatland.Island.714680_TMYx.2009-2023.zip</v>
      </c>
    </row>
    <row r="1670" spans="1:10" x14ac:dyDescent="0.25">
      <c r="A1670" t="s">
        <v>6</v>
      </c>
      <c r="B1670" t="s">
        <v>130</v>
      </c>
      <c r="C1670" t="s">
        <v>847</v>
      </c>
      <c r="D1670">
        <v>714680</v>
      </c>
      <c r="E1670" t="s">
        <v>10</v>
      </c>
      <c r="F1670">
        <v>49.716670000000001</v>
      </c>
      <c r="G1670">
        <v>-88.333330000000004</v>
      </c>
      <c r="H1670">
        <v>-5</v>
      </c>
      <c r="I1670">
        <v>260</v>
      </c>
      <c r="J1670" t="str">
        <f>HYPERLINK("https://climate.onebuilding.org/WMO_Region_4_North_and_Central_America/CAN_Canada/ON_Ontario/CAN_ON_Katatota.Island.MS-Flatland.Island.714680_TMYx.zip")</f>
        <v>https://climate.onebuilding.org/WMO_Region_4_North_and_Central_America/CAN_Canada/ON_Ontario/CAN_ON_Katatota.Island.MS-Flatland.Island.714680_TMYx.zip</v>
      </c>
    </row>
    <row r="1671" spans="1:10" x14ac:dyDescent="0.25">
      <c r="A1671" t="s">
        <v>6</v>
      </c>
      <c r="B1671" t="s">
        <v>42</v>
      </c>
      <c r="C1671" t="s">
        <v>849</v>
      </c>
      <c r="D1671">
        <v>714700</v>
      </c>
      <c r="E1671" t="s">
        <v>850</v>
      </c>
      <c r="F1671">
        <v>65.755300000000005</v>
      </c>
      <c r="G1671">
        <v>-111.2458</v>
      </c>
      <c r="H1671">
        <v>-7</v>
      </c>
      <c r="I1671">
        <v>496.5</v>
      </c>
      <c r="J1671" t="str">
        <f>HYPERLINK("https://climate.onebuilding.org/WMO_Region_4_North_and_Central_America/CAN_Canada/NU_Nunavut/CAN_NU_Lupin.AP.CS.714700_TMYx.2004-2018.zip")</f>
        <v>https://climate.onebuilding.org/WMO_Region_4_North_and_Central_America/CAN_Canada/NU_Nunavut/CAN_NU_Lupin.AP.CS.714700_TMYx.2004-2018.zip</v>
      </c>
    </row>
    <row r="1672" spans="1:10" x14ac:dyDescent="0.25">
      <c r="A1672" t="s">
        <v>6</v>
      </c>
      <c r="B1672" t="s">
        <v>42</v>
      </c>
      <c r="C1672" t="s">
        <v>849</v>
      </c>
      <c r="D1672">
        <v>714700</v>
      </c>
      <c r="E1672" t="s">
        <v>10</v>
      </c>
      <c r="F1672">
        <v>65.755300000000005</v>
      </c>
      <c r="G1672">
        <v>-111.2458</v>
      </c>
      <c r="H1672">
        <v>-7</v>
      </c>
      <c r="I1672">
        <v>496.5</v>
      </c>
      <c r="J1672" t="str">
        <f>HYPERLINK("https://climate.onebuilding.org/WMO_Region_4_North_and_Central_America/CAN_Canada/NU_Nunavut/CAN_NU_Lupin.AP.CS.714700_TMYx.2007-2021.zip")</f>
        <v>https://climate.onebuilding.org/WMO_Region_4_North_and_Central_America/CAN_Canada/NU_Nunavut/CAN_NU_Lupin.AP.CS.714700_TMYx.2007-2021.zip</v>
      </c>
    </row>
    <row r="1673" spans="1:10" x14ac:dyDescent="0.25">
      <c r="A1673" t="s">
        <v>6</v>
      </c>
      <c r="B1673" t="s">
        <v>42</v>
      </c>
      <c r="C1673" t="s">
        <v>849</v>
      </c>
      <c r="D1673">
        <v>714700</v>
      </c>
      <c r="E1673" t="s">
        <v>10</v>
      </c>
      <c r="F1673">
        <v>65.755300000000005</v>
      </c>
      <c r="G1673">
        <v>-111.2458</v>
      </c>
      <c r="H1673">
        <v>-7</v>
      </c>
      <c r="I1673">
        <v>496.5</v>
      </c>
      <c r="J1673" t="str">
        <f>HYPERLINK("https://climate.onebuilding.org/WMO_Region_4_North_and_Central_America/CAN_Canada/NU_Nunavut/CAN_NU_Lupin.AP.CS.714700_TMYx.2009-2023.zip")</f>
        <v>https://climate.onebuilding.org/WMO_Region_4_North_and_Central_America/CAN_Canada/NU_Nunavut/CAN_NU_Lupin.AP.CS.714700_TMYx.2009-2023.zip</v>
      </c>
    </row>
    <row r="1674" spans="1:10" x14ac:dyDescent="0.25">
      <c r="A1674" t="s">
        <v>6</v>
      </c>
      <c r="B1674" t="s">
        <v>42</v>
      </c>
      <c r="C1674" t="s">
        <v>849</v>
      </c>
      <c r="D1674">
        <v>714700</v>
      </c>
      <c r="E1674" t="s">
        <v>10</v>
      </c>
      <c r="F1674">
        <v>65.755300000000005</v>
      </c>
      <c r="G1674">
        <v>-111.2458</v>
      </c>
      <c r="H1674">
        <v>-7</v>
      </c>
      <c r="I1674">
        <v>496.5</v>
      </c>
      <c r="J1674" t="str">
        <f>HYPERLINK("https://climate.onebuilding.org/WMO_Region_4_North_and_Central_America/CAN_Canada/NU_Nunavut/CAN_NU_Lupin.AP.CS.714700_TMYx.zip")</f>
        <v>https://climate.onebuilding.org/WMO_Region_4_North_and_Central_America/CAN_Canada/NU_Nunavut/CAN_NU_Lupin.AP.CS.714700_TMYx.zip</v>
      </c>
    </row>
    <row r="1675" spans="1:10" x14ac:dyDescent="0.25">
      <c r="A1675" t="s">
        <v>6</v>
      </c>
      <c r="B1675" t="s">
        <v>55</v>
      </c>
      <c r="C1675" t="s">
        <v>851</v>
      </c>
      <c r="D1675">
        <v>714710</v>
      </c>
      <c r="E1675" t="s">
        <v>852</v>
      </c>
      <c r="F1675">
        <v>55.732999999999997</v>
      </c>
      <c r="G1675">
        <v>-120.167</v>
      </c>
      <c r="H1675">
        <v>-7</v>
      </c>
      <c r="I1675">
        <v>655</v>
      </c>
      <c r="J1675" t="str">
        <f>HYPERLINK("https://climate.onebuilding.org/WMO_Region_4_North_and_Central_America/CAN_Canada/BC_British_Columbia/CAN_BC_Dawson.Creek.AP.714710_TMYx.2004-2018.zip")</f>
        <v>https://climate.onebuilding.org/WMO_Region_4_North_and_Central_America/CAN_Canada/BC_British_Columbia/CAN_BC_Dawson.Creek.AP.714710_TMYx.2004-2018.zip</v>
      </c>
    </row>
    <row r="1676" spans="1:10" x14ac:dyDescent="0.25">
      <c r="A1676" t="s">
        <v>6</v>
      </c>
      <c r="B1676" t="s">
        <v>55</v>
      </c>
      <c r="C1676" t="s">
        <v>851</v>
      </c>
      <c r="D1676">
        <v>714710</v>
      </c>
      <c r="E1676" t="s">
        <v>10</v>
      </c>
      <c r="F1676">
        <v>55.742220000000003</v>
      </c>
      <c r="G1676">
        <v>-120.1831</v>
      </c>
      <c r="H1676">
        <v>-7</v>
      </c>
      <c r="I1676">
        <v>655</v>
      </c>
      <c r="J1676" t="str">
        <f>HYPERLINK("https://climate.onebuilding.org/WMO_Region_4_North_and_Central_America/CAN_Canada/BC_British_Columbia/CAN_BC_Dawson.Creek.AP.714710_TMYx.2007-2021.zip")</f>
        <v>https://climate.onebuilding.org/WMO_Region_4_North_and_Central_America/CAN_Canada/BC_British_Columbia/CAN_BC_Dawson.Creek.AP.714710_TMYx.2007-2021.zip</v>
      </c>
    </row>
    <row r="1677" spans="1:10" x14ac:dyDescent="0.25">
      <c r="A1677" t="s">
        <v>6</v>
      </c>
      <c r="B1677" t="s">
        <v>55</v>
      </c>
      <c r="C1677" t="s">
        <v>851</v>
      </c>
      <c r="D1677">
        <v>714710</v>
      </c>
      <c r="E1677" t="s">
        <v>10</v>
      </c>
      <c r="F1677">
        <v>55.742220000000003</v>
      </c>
      <c r="G1677">
        <v>-120.1831</v>
      </c>
      <c r="H1677">
        <v>-7</v>
      </c>
      <c r="I1677">
        <v>655</v>
      </c>
      <c r="J1677" t="str">
        <f>HYPERLINK("https://climate.onebuilding.org/WMO_Region_4_North_and_Central_America/CAN_Canada/BC_British_Columbia/CAN_BC_Dawson.Creek.AP.714710_TMYx.2009-2023.zip")</f>
        <v>https://climate.onebuilding.org/WMO_Region_4_North_and_Central_America/CAN_Canada/BC_British_Columbia/CAN_BC_Dawson.Creek.AP.714710_TMYx.2009-2023.zip</v>
      </c>
    </row>
    <row r="1678" spans="1:10" x14ac:dyDescent="0.25">
      <c r="A1678" t="s">
        <v>6</v>
      </c>
      <c r="B1678" t="s">
        <v>55</v>
      </c>
      <c r="C1678" t="s">
        <v>851</v>
      </c>
      <c r="D1678">
        <v>714710</v>
      </c>
      <c r="E1678" t="s">
        <v>10</v>
      </c>
      <c r="F1678">
        <v>55.742220000000003</v>
      </c>
      <c r="G1678">
        <v>-120.1831</v>
      </c>
      <c r="H1678">
        <v>-7</v>
      </c>
      <c r="I1678">
        <v>655</v>
      </c>
      <c r="J1678" t="str">
        <f>HYPERLINK("https://climate.onebuilding.org/WMO_Region_4_North_and_Central_America/CAN_Canada/BC_British_Columbia/CAN_BC_Dawson.Creek.AP.714710_TMYx.zip")</f>
        <v>https://climate.onebuilding.org/WMO_Region_4_North_and_Central_America/CAN_Canada/BC_British_Columbia/CAN_BC_Dawson.Creek.AP.714710_TMYx.zip</v>
      </c>
    </row>
    <row r="1679" spans="1:10" x14ac:dyDescent="0.25">
      <c r="A1679" t="s">
        <v>6</v>
      </c>
      <c r="B1679" t="s">
        <v>55</v>
      </c>
      <c r="C1679" t="s">
        <v>853</v>
      </c>
      <c r="D1679">
        <v>714720</v>
      </c>
      <c r="E1679" t="s">
        <v>854</v>
      </c>
      <c r="F1679">
        <v>53.3</v>
      </c>
      <c r="G1679">
        <v>-132.767</v>
      </c>
      <c r="H1679">
        <v>-8</v>
      </c>
      <c r="I1679">
        <v>14</v>
      </c>
      <c r="J1679" t="str">
        <f>HYPERLINK("https://climate.onebuilding.org/WMO_Region_4_North_and_Central_America/CAN_Canada/BC_British_Columbia/CAN_BC_Kindakun.Rocks.714720_TMYx.2004-2018.zip")</f>
        <v>https://climate.onebuilding.org/WMO_Region_4_North_and_Central_America/CAN_Canada/BC_British_Columbia/CAN_BC_Kindakun.Rocks.714720_TMYx.2004-2018.zip</v>
      </c>
    </row>
    <row r="1680" spans="1:10" x14ac:dyDescent="0.25">
      <c r="A1680" t="s">
        <v>6</v>
      </c>
      <c r="B1680" t="s">
        <v>55</v>
      </c>
      <c r="C1680" t="s">
        <v>853</v>
      </c>
      <c r="D1680">
        <v>714720</v>
      </c>
      <c r="E1680" t="s">
        <v>10</v>
      </c>
      <c r="F1680">
        <v>53.315559999999998</v>
      </c>
      <c r="G1680">
        <v>-132.77189999999999</v>
      </c>
      <c r="H1680">
        <v>-8</v>
      </c>
      <c r="I1680">
        <v>14</v>
      </c>
      <c r="J1680" t="str">
        <f>HYPERLINK("https://climate.onebuilding.org/WMO_Region_4_North_and_Central_America/CAN_Canada/BC_British_Columbia/CAN_BC_Kindakun.Rocks.714720_TMYx.2007-2021.zip")</f>
        <v>https://climate.onebuilding.org/WMO_Region_4_North_and_Central_America/CAN_Canada/BC_British_Columbia/CAN_BC_Kindakun.Rocks.714720_TMYx.2007-2021.zip</v>
      </c>
    </row>
    <row r="1681" spans="1:10" x14ac:dyDescent="0.25">
      <c r="A1681" t="s">
        <v>6</v>
      </c>
      <c r="B1681" t="s">
        <v>55</v>
      </c>
      <c r="C1681" t="s">
        <v>853</v>
      </c>
      <c r="D1681">
        <v>714720</v>
      </c>
      <c r="E1681" t="s">
        <v>10</v>
      </c>
      <c r="F1681">
        <v>53.315559999999998</v>
      </c>
      <c r="G1681">
        <v>-132.77189999999999</v>
      </c>
      <c r="H1681">
        <v>-8</v>
      </c>
      <c r="I1681">
        <v>14</v>
      </c>
      <c r="J1681" t="str">
        <f>HYPERLINK("https://climate.onebuilding.org/WMO_Region_4_North_and_Central_America/CAN_Canada/BC_British_Columbia/CAN_BC_Kindakun.Rocks.714720_TMYx.2009-2023.zip")</f>
        <v>https://climate.onebuilding.org/WMO_Region_4_North_and_Central_America/CAN_Canada/BC_British_Columbia/CAN_BC_Kindakun.Rocks.714720_TMYx.2009-2023.zip</v>
      </c>
    </row>
    <row r="1682" spans="1:10" x14ac:dyDescent="0.25">
      <c r="A1682" t="s">
        <v>6</v>
      </c>
      <c r="B1682" t="s">
        <v>55</v>
      </c>
      <c r="C1682" t="s">
        <v>853</v>
      </c>
      <c r="D1682">
        <v>714720</v>
      </c>
      <c r="E1682" t="s">
        <v>10</v>
      </c>
      <c r="F1682">
        <v>53.315559999999998</v>
      </c>
      <c r="G1682">
        <v>-132.77189999999999</v>
      </c>
      <c r="H1682">
        <v>-8</v>
      </c>
      <c r="I1682">
        <v>14</v>
      </c>
      <c r="J1682" t="str">
        <f>HYPERLINK("https://climate.onebuilding.org/WMO_Region_4_North_and_Central_America/CAN_Canada/BC_British_Columbia/CAN_BC_Kindakun.Rocks.714720_TMYx.zip")</f>
        <v>https://climate.onebuilding.org/WMO_Region_4_North_and_Central_America/CAN_Canada/BC_British_Columbia/CAN_BC_Kindakun.Rocks.714720_TMYx.zip</v>
      </c>
    </row>
    <row r="1683" spans="1:10" x14ac:dyDescent="0.25">
      <c r="A1683" t="s">
        <v>6</v>
      </c>
      <c r="B1683" t="s">
        <v>55</v>
      </c>
      <c r="C1683" t="s">
        <v>855</v>
      </c>
      <c r="D1683">
        <v>714724</v>
      </c>
      <c r="E1683" t="s">
        <v>10</v>
      </c>
      <c r="F1683">
        <v>54.03</v>
      </c>
      <c r="G1683">
        <v>-132.13</v>
      </c>
      <c r="H1683">
        <v>-8</v>
      </c>
      <c r="I1683">
        <v>7</v>
      </c>
      <c r="J1683" t="str">
        <f>HYPERLINK("https://climate.onebuilding.org/WMO_Region_4_North_and_Central_America/CAN_Canada/BC_British_Columbia/CAN_BC_Masset.AP.714724_TMYx.2007-2021.zip")</f>
        <v>https://climate.onebuilding.org/WMO_Region_4_North_and_Central_America/CAN_Canada/BC_British_Columbia/CAN_BC_Masset.AP.714724_TMYx.2007-2021.zip</v>
      </c>
    </row>
    <row r="1684" spans="1:10" x14ac:dyDescent="0.25">
      <c r="A1684" t="s">
        <v>6</v>
      </c>
      <c r="B1684" t="s">
        <v>55</v>
      </c>
      <c r="C1684" t="s">
        <v>855</v>
      </c>
      <c r="D1684">
        <v>714724</v>
      </c>
      <c r="E1684" t="s">
        <v>10</v>
      </c>
      <c r="F1684">
        <v>54.03</v>
      </c>
      <c r="G1684">
        <v>-132.13</v>
      </c>
      <c r="H1684">
        <v>-8</v>
      </c>
      <c r="I1684">
        <v>7</v>
      </c>
      <c r="J1684" t="str">
        <f>HYPERLINK("https://climate.onebuilding.org/WMO_Region_4_North_and_Central_America/CAN_Canada/BC_British_Columbia/CAN_BC_Masset.AP.714724_TMYx.2009-2023.zip")</f>
        <v>https://climate.onebuilding.org/WMO_Region_4_North_and_Central_America/CAN_Canada/BC_British_Columbia/CAN_BC_Masset.AP.714724_TMYx.2009-2023.zip</v>
      </c>
    </row>
    <row r="1685" spans="1:10" x14ac:dyDescent="0.25">
      <c r="A1685" t="s">
        <v>6</v>
      </c>
      <c r="B1685" t="s">
        <v>55</v>
      </c>
      <c r="C1685" t="s">
        <v>855</v>
      </c>
      <c r="D1685">
        <v>714724</v>
      </c>
      <c r="E1685" t="s">
        <v>10</v>
      </c>
      <c r="F1685">
        <v>54.03</v>
      </c>
      <c r="G1685">
        <v>-132.13</v>
      </c>
      <c r="H1685">
        <v>-8</v>
      </c>
      <c r="I1685">
        <v>7</v>
      </c>
      <c r="J1685" t="str">
        <f>HYPERLINK("https://climate.onebuilding.org/WMO_Region_4_North_and_Central_America/CAN_Canada/BC_British_Columbia/CAN_BC_Masset.AP.714724_TMYx.zip")</f>
        <v>https://climate.onebuilding.org/WMO_Region_4_North_and_Central_America/CAN_Canada/BC_British_Columbia/CAN_BC_Masset.AP.714724_TMYx.zip</v>
      </c>
    </row>
    <row r="1686" spans="1:10" x14ac:dyDescent="0.25">
      <c r="A1686" t="s">
        <v>6</v>
      </c>
      <c r="B1686" t="s">
        <v>55</v>
      </c>
      <c r="C1686" t="s">
        <v>856</v>
      </c>
      <c r="D1686">
        <v>714730</v>
      </c>
      <c r="E1686" t="s">
        <v>857</v>
      </c>
      <c r="F1686">
        <v>48.783900000000003</v>
      </c>
      <c r="G1686">
        <v>-123.0448</v>
      </c>
      <c r="H1686">
        <v>-8</v>
      </c>
      <c r="I1686">
        <v>24.4</v>
      </c>
      <c r="J1686" t="str">
        <f>HYPERLINK("https://climate.onebuilding.org/WMO_Region_4_North_and_Central_America/CAN_Canada/BC_British_Columbia/CAN_BC_Saturna.Island.CS-East.Point.Lighthouse.714730_TMYx.2004-2018.zip")</f>
        <v>https://climate.onebuilding.org/WMO_Region_4_North_and_Central_America/CAN_Canada/BC_British_Columbia/CAN_BC_Saturna.Island.CS-East.Point.Lighthouse.714730_TMYx.2004-2018.zip</v>
      </c>
    </row>
    <row r="1687" spans="1:10" x14ac:dyDescent="0.25">
      <c r="A1687" t="s">
        <v>6</v>
      </c>
      <c r="B1687" t="s">
        <v>55</v>
      </c>
      <c r="C1687" t="s">
        <v>856</v>
      </c>
      <c r="D1687">
        <v>714730</v>
      </c>
      <c r="E1687" t="s">
        <v>10</v>
      </c>
      <c r="F1687">
        <v>48.783200000000001</v>
      </c>
      <c r="G1687">
        <v>-123.04600000000001</v>
      </c>
      <c r="H1687">
        <v>-8</v>
      </c>
      <c r="I1687">
        <v>24.4</v>
      </c>
      <c r="J1687" t="str">
        <f>HYPERLINK("https://climate.onebuilding.org/WMO_Region_4_North_and_Central_America/CAN_Canada/BC_British_Columbia/CAN_BC_Saturna.Island.CS-East.Point.Lighthouse.714730_TMYx.2007-2021.zip")</f>
        <v>https://climate.onebuilding.org/WMO_Region_4_North_and_Central_America/CAN_Canada/BC_British_Columbia/CAN_BC_Saturna.Island.CS-East.Point.Lighthouse.714730_TMYx.2007-2021.zip</v>
      </c>
    </row>
    <row r="1688" spans="1:10" x14ac:dyDescent="0.25">
      <c r="A1688" t="s">
        <v>6</v>
      </c>
      <c r="B1688" t="s">
        <v>55</v>
      </c>
      <c r="C1688" t="s">
        <v>856</v>
      </c>
      <c r="D1688">
        <v>714730</v>
      </c>
      <c r="E1688" t="s">
        <v>10</v>
      </c>
      <c r="F1688">
        <v>48.783200000000001</v>
      </c>
      <c r="G1688">
        <v>-123.04600000000001</v>
      </c>
      <c r="H1688">
        <v>-8</v>
      </c>
      <c r="I1688">
        <v>24.4</v>
      </c>
      <c r="J1688" t="str">
        <f>HYPERLINK("https://climate.onebuilding.org/WMO_Region_4_North_and_Central_America/CAN_Canada/BC_British_Columbia/CAN_BC_Saturna.Island.CS-East.Point.Lighthouse.714730_TMYx.2009-2023.zip")</f>
        <v>https://climate.onebuilding.org/WMO_Region_4_North_and_Central_America/CAN_Canada/BC_British_Columbia/CAN_BC_Saturna.Island.CS-East.Point.Lighthouse.714730_TMYx.2009-2023.zip</v>
      </c>
    </row>
    <row r="1689" spans="1:10" x14ac:dyDescent="0.25">
      <c r="A1689" t="s">
        <v>6</v>
      </c>
      <c r="B1689" t="s">
        <v>55</v>
      </c>
      <c r="C1689" t="s">
        <v>856</v>
      </c>
      <c r="D1689">
        <v>714730</v>
      </c>
      <c r="E1689" t="s">
        <v>10</v>
      </c>
      <c r="F1689">
        <v>48.783200000000001</v>
      </c>
      <c r="G1689">
        <v>-123.04600000000001</v>
      </c>
      <c r="H1689">
        <v>-8</v>
      </c>
      <c r="I1689">
        <v>24.4</v>
      </c>
      <c r="J1689" t="str">
        <f>HYPERLINK("https://climate.onebuilding.org/WMO_Region_4_North_and_Central_America/CAN_Canada/BC_British_Columbia/CAN_BC_Saturna.Island.CS-East.Point.Lighthouse.714730_TMYx.zip")</f>
        <v>https://climate.onebuilding.org/WMO_Region_4_North_and_Central_America/CAN_Canada/BC_British_Columbia/CAN_BC_Saturna.Island.CS-East.Point.Lighthouse.714730_TMYx.zip</v>
      </c>
    </row>
    <row r="1690" spans="1:10" x14ac:dyDescent="0.25">
      <c r="A1690" t="s">
        <v>6</v>
      </c>
      <c r="B1690" t="s">
        <v>55</v>
      </c>
      <c r="C1690" t="s">
        <v>858</v>
      </c>
      <c r="D1690">
        <v>714740</v>
      </c>
      <c r="E1690" t="s">
        <v>859</v>
      </c>
      <c r="F1690">
        <v>51.1447</v>
      </c>
      <c r="G1690">
        <v>-121.5047</v>
      </c>
      <c r="H1690">
        <v>-8</v>
      </c>
      <c r="I1690">
        <v>1056.7</v>
      </c>
      <c r="J1690" t="str">
        <f>HYPERLINK("https://climate.onebuilding.org/WMO_Region_4_North_and_Central_America/CAN_Canada/BC_British_Columbia/CAN_BC_Clinton.714740_TMYx.2004-2018.zip")</f>
        <v>https://climate.onebuilding.org/WMO_Region_4_North_and_Central_America/CAN_Canada/BC_British_Columbia/CAN_BC_Clinton.714740_TMYx.2004-2018.zip</v>
      </c>
    </row>
    <row r="1691" spans="1:10" x14ac:dyDescent="0.25">
      <c r="A1691" t="s">
        <v>6</v>
      </c>
      <c r="B1691" t="s">
        <v>55</v>
      </c>
      <c r="C1691" t="s">
        <v>858</v>
      </c>
      <c r="D1691">
        <v>714740</v>
      </c>
      <c r="E1691" t="s">
        <v>10</v>
      </c>
      <c r="F1691">
        <v>51.1447</v>
      </c>
      <c r="G1691">
        <v>-121.50490000000001</v>
      </c>
      <c r="H1691">
        <v>-8</v>
      </c>
      <c r="I1691">
        <v>1056.7</v>
      </c>
      <c r="J1691" t="str">
        <f>HYPERLINK("https://climate.onebuilding.org/WMO_Region_4_North_and_Central_America/CAN_Canada/BC_British_Columbia/CAN_BC_Clinton.714740_TMYx.2007-2021.zip")</f>
        <v>https://climate.onebuilding.org/WMO_Region_4_North_and_Central_America/CAN_Canada/BC_British_Columbia/CAN_BC_Clinton.714740_TMYx.2007-2021.zip</v>
      </c>
    </row>
    <row r="1692" spans="1:10" x14ac:dyDescent="0.25">
      <c r="A1692" t="s">
        <v>6</v>
      </c>
      <c r="B1692" t="s">
        <v>55</v>
      </c>
      <c r="C1692" t="s">
        <v>858</v>
      </c>
      <c r="D1692">
        <v>714740</v>
      </c>
      <c r="E1692" t="s">
        <v>10</v>
      </c>
      <c r="F1692">
        <v>51.1447</v>
      </c>
      <c r="G1692">
        <v>-121.50490000000001</v>
      </c>
      <c r="H1692">
        <v>-8</v>
      </c>
      <c r="I1692">
        <v>1056.7</v>
      </c>
      <c r="J1692" t="str">
        <f>HYPERLINK("https://climate.onebuilding.org/WMO_Region_4_North_and_Central_America/CAN_Canada/BC_British_Columbia/CAN_BC_Clinton.714740_TMYx.2009-2023.zip")</f>
        <v>https://climate.onebuilding.org/WMO_Region_4_North_and_Central_America/CAN_Canada/BC_British_Columbia/CAN_BC_Clinton.714740_TMYx.2009-2023.zip</v>
      </c>
    </row>
    <row r="1693" spans="1:10" x14ac:dyDescent="0.25">
      <c r="A1693" t="s">
        <v>6</v>
      </c>
      <c r="B1693" t="s">
        <v>55</v>
      </c>
      <c r="C1693" t="s">
        <v>858</v>
      </c>
      <c r="D1693">
        <v>714740</v>
      </c>
      <c r="E1693" t="s">
        <v>10</v>
      </c>
      <c r="F1693">
        <v>51.1447</v>
      </c>
      <c r="G1693">
        <v>-121.50490000000001</v>
      </c>
      <c r="H1693">
        <v>-8</v>
      </c>
      <c r="I1693">
        <v>1056.7</v>
      </c>
      <c r="J1693" t="str">
        <f>HYPERLINK("https://climate.onebuilding.org/WMO_Region_4_North_and_Central_America/CAN_Canada/BC_British_Columbia/CAN_BC_Clinton.714740_TMYx.zip")</f>
        <v>https://climate.onebuilding.org/WMO_Region_4_North_and_Central_America/CAN_Canada/BC_British_Columbia/CAN_BC_Clinton.714740_TMYx.zip</v>
      </c>
    </row>
    <row r="1694" spans="1:10" x14ac:dyDescent="0.25">
      <c r="A1694" t="s">
        <v>6</v>
      </c>
      <c r="B1694" t="s">
        <v>55</v>
      </c>
      <c r="C1694" t="s">
        <v>860</v>
      </c>
      <c r="D1694">
        <v>714750</v>
      </c>
      <c r="E1694" t="s">
        <v>861</v>
      </c>
      <c r="F1694">
        <v>49.316699999999997</v>
      </c>
      <c r="G1694">
        <v>-124.9264</v>
      </c>
      <c r="H1694">
        <v>-8</v>
      </c>
      <c r="I1694">
        <v>76.2</v>
      </c>
      <c r="J1694" t="str">
        <f>HYPERLINK("https://climate.onebuilding.org/WMO_Region_4_North_and_Central_America/CAN_Canada/BC_British_Columbia/CAN_BC_Alberni.Valley.Rgnl.AP.714750_TMYx.2004-2018.zip")</f>
        <v>https://climate.onebuilding.org/WMO_Region_4_North_and_Central_America/CAN_Canada/BC_British_Columbia/CAN_BC_Alberni.Valley.Rgnl.AP.714750_TMYx.2004-2018.zip</v>
      </c>
    </row>
    <row r="1695" spans="1:10" x14ac:dyDescent="0.25">
      <c r="A1695" t="s">
        <v>6</v>
      </c>
      <c r="B1695" t="s">
        <v>55</v>
      </c>
      <c r="C1695" t="s">
        <v>860</v>
      </c>
      <c r="D1695">
        <v>714750</v>
      </c>
      <c r="E1695" t="s">
        <v>10</v>
      </c>
      <c r="F1695">
        <v>49.316699999999997</v>
      </c>
      <c r="G1695">
        <v>-124.9264</v>
      </c>
      <c r="H1695">
        <v>-8</v>
      </c>
      <c r="I1695">
        <v>76.2</v>
      </c>
      <c r="J1695" t="str">
        <f>HYPERLINK("https://climate.onebuilding.org/WMO_Region_4_North_and_Central_America/CAN_Canada/BC_British_Columbia/CAN_BC_Alberni.Valley.Rgnl.AP.714750_TMYx.2007-2021.zip")</f>
        <v>https://climate.onebuilding.org/WMO_Region_4_North_and_Central_America/CAN_Canada/BC_British_Columbia/CAN_BC_Alberni.Valley.Rgnl.AP.714750_TMYx.2007-2021.zip</v>
      </c>
    </row>
    <row r="1696" spans="1:10" x14ac:dyDescent="0.25">
      <c r="A1696" t="s">
        <v>6</v>
      </c>
      <c r="B1696" t="s">
        <v>55</v>
      </c>
      <c r="C1696" t="s">
        <v>860</v>
      </c>
      <c r="D1696">
        <v>714750</v>
      </c>
      <c r="E1696" t="s">
        <v>10</v>
      </c>
      <c r="F1696">
        <v>49.316699999999997</v>
      </c>
      <c r="G1696">
        <v>-124.9264</v>
      </c>
      <c r="H1696">
        <v>-8</v>
      </c>
      <c r="I1696">
        <v>76.2</v>
      </c>
      <c r="J1696" t="str">
        <f>HYPERLINK("https://climate.onebuilding.org/WMO_Region_4_North_and_Central_America/CAN_Canada/BC_British_Columbia/CAN_BC_Alberni.Valley.Rgnl.AP.714750_TMYx.2009-2023.zip")</f>
        <v>https://climate.onebuilding.org/WMO_Region_4_North_and_Central_America/CAN_Canada/BC_British_Columbia/CAN_BC_Alberni.Valley.Rgnl.AP.714750_TMYx.2009-2023.zip</v>
      </c>
    </row>
    <row r="1697" spans="1:10" x14ac:dyDescent="0.25">
      <c r="A1697" t="s">
        <v>6</v>
      </c>
      <c r="B1697" t="s">
        <v>55</v>
      </c>
      <c r="C1697" t="s">
        <v>860</v>
      </c>
      <c r="D1697">
        <v>714750</v>
      </c>
      <c r="E1697" t="s">
        <v>10</v>
      </c>
      <c r="F1697">
        <v>49.316699999999997</v>
      </c>
      <c r="G1697">
        <v>-124.9264</v>
      </c>
      <c r="H1697">
        <v>-8</v>
      </c>
      <c r="I1697">
        <v>76.2</v>
      </c>
      <c r="J1697" t="str">
        <f>HYPERLINK("https://climate.onebuilding.org/WMO_Region_4_North_and_Central_America/CAN_Canada/BC_British_Columbia/CAN_BC_Alberni.Valley.Rgnl.AP.714750_TMYx.zip")</f>
        <v>https://climate.onebuilding.org/WMO_Region_4_North_and_Central_America/CAN_Canada/BC_British_Columbia/CAN_BC_Alberni.Valley.Rgnl.AP.714750_TMYx.zip</v>
      </c>
    </row>
    <row r="1698" spans="1:10" x14ac:dyDescent="0.25">
      <c r="A1698" t="s">
        <v>6</v>
      </c>
      <c r="B1698" t="s">
        <v>55</v>
      </c>
      <c r="C1698" t="s">
        <v>862</v>
      </c>
      <c r="D1698">
        <v>714760</v>
      </c>
      <c r="E1698" t="s">
        <v>863</v>
      </c>
      <c r="F1698">
        <v>54.580300000000001</v>
      </c>
      <c r="G1698">
        <v>-130.6978</v>
      </c>
      <c r="H1698">
        <v>-8</v>
      </c>
      <c r="I1698">
        <v>10</v>
      </c>
      <c r="J1698" t="str">
        <f>HYPERLINK("https://climate.onebuilding.org/WMO_Region_4_North_and_Central_America/CAN_Canada/BC_British_Columbia/CAN_BC_Grey.Islet.714760_TMYx.2004-2018.zip")</f>
        <v>https://climate.onebuilding.org/WMO_Region_4_North_and_Central_America/CAN_Canada/BC_British_Columbia/CAN_BC_Grey.Islet.714760_TMYx.2004-2018.zip</v>
      </c>
    </row>
    <row r="1699" spans="1:10" x14ac:dyDescent="0.25">
      <c r="A1699" t="s">
        <v>6</v>
      </c>
      <c r="B1699" t="s">
        <v>55</v>
      </c>
      <c r="C1699" t="s">
        <v>862</v>
      </c>
      <c r="D1699">
        <v>714760</v>
      </c>
      <c r="E1699" t="s">
        <v>10</v>
      </c>
      <c r="F1699">
        <v>54.580300000000001</v>
      </c>
      <c r="G1699">
        <v>-130.6978</v>
      </c>
      <c r="H1699">
        <v>-8</v>
      </c>
      <c r="I1699">
        <v>10</v>
      </c>
      <c r="J1699" t="str">
        <f>HYPERLINK("https://climate.onebuilding.org/WMO_Region_4_North_and_Central_America/CAN_Canada/BC_British_Columbia/CAN_BC_Grey.Islet.714760_TMYx.2007-2021.zip")</f>
        <v>https://climate.onebuilding.org/WMO_Region_4_North_and_Central_America/CAN_Canada/BC_British_Columbia/CAN_BC_Grey.Islet.714760_TMYx.2007-2021.zip</v>
      </c>
    </row>
    <row r="1700" spans="1:10" x14ac:dyDescent="0.25">
      <c r="A1700" t="s">
        <v>6</v>
      </c>
      <c r="B1700" t="s">
        <v>55</v>
      </c>
      <c r="C1700" t="s">
        <v>862</v>
      </c>
      <c r="D1700">
        <v>714760</v>
      </c>
      <c r="E1700" t="s">
        <v>10</v>
      </c>
      <c r="F1700">
        <v>54.580300000000001</v>
      </c>
      <c r="G1700">
        <v>-130.6978</v>
      </c>
      <c r="H1700">
        <v>-8</v>
      </c>
      <c r="I1700">
        <v>10</v>
      </c>
      <c r="J1700" t="str">
        <f>HYPERLINK("https://climate.onebuilding.org/WMO_Region_4_North_and_Central_America/CAN_Canada/BC_British_Columbia/CAN_BC_Grey.Islet.714760_TMYx.2009-2023.zip")</f>
        <v>https://climate.onebuilding.org/WMO_Region_4_North_and_Central_America/CAN_Canada/BC_British_Columbia/CAN_BC_Grey.Islet.714760_TMYx.2009-2023.zip</v>
      </c>
    </row>
    <row r="1701" spans="1:10" x14ac:dyDescent="0.25">
      <c r="A1701" t="s">
        <v>6</v>
      </c>
      <c r="B1701" t="s">
        <v>55</v>
      </c>
      <c r="C1701" t="s">
        <v>862</v>
      </c>
      <c r="D1701">
        <v>714760</v>
      </c>
      <c r="E1701" t="s">
        <v>10</v>
      </c>
      <c r="F1701">
        <v>54.580300000000001</v>
      </c>
      <c r="G1701">
        <v>-130.6978</v>
      </c>
      <c r="H1701">
        <v>-8</v>
      </c>
      <c r="I1701">
        <v>10</v>
      </c>
      <c r="J1701" t="str">
        <f>HYPERLINK("https://climate.onebuilding.org/WMO_Region_4_North_and_Central_America/CAN_Canada/BC_British_Columbia/CAN_BC_Grey.Islet.714760_TMYx.zip")</f>
        <v>https://climate.onebuilding.org/WMO_Region_4_North_and_Central_America/CAN_Canada/BC_British_Columbia/CAN_BC_Grey.Islet.714760_TMYx.zip</v>
      </c>
    </row>
    <row r="1702" spans="1:10" x14ac:dyDescent="0.25">
      <c r="A1702" t="s">
        <v>6</v>
      </c>
      <c r="B1702" t="s">
        <v>55</v>
      </c>
      <c r="C1702" t="s">
        <v>864</v>
      </c>
      <c r="D1702">
        <v>714770</v>
      </c>
      <c r="E1702" t="s">
        <v>865</v>
      </c>
      <c r="F1702">
        <v>54.15</v>
      </c>
      <c r="G1702">
        <v>-131.65</v>
      </c>
      <c r="H1702">
        <v>-8</v>
      </c>
      <c r="I1702">
        <v>7</v>
      </c>
      <c r="J1702" t="str">
        <f>HYPERLINK("https://climate.onebuilding.org/WMO_Region_4_North_and_Central_America/CAN_Canada/BC_British_Columbia/CAN_BC_Rose.Spit.714770_TMYx.2004-2018.zip")</f>
        <v>https://climate.onebuilding.org/WMO_Region_4_North_and_Central_America/CAN_Canada/BC_British_Columbia/CAN_BC_Rose.Spit.714770_TMYx.2004-2018.zip</v>
      </c>
    </row>
    <row r="1703" spans="1:10" x14ac:dyDescent="0.25">
      <c r="A1703" t="s">
        <v>6</v>
      </c>
      <c r="B1703" t="s">
        <v>55</v>
      </c>
      <c r="C1703" t="s">
        <v>864</v>
      </c>
      <c r="D1703">
        <v>714770</v>
      </c>
      <c r="E1703" t="s">
        <v>10</v>
      </c>
      <c r="F1703">
        <v>54.159170000000003</v>
      </c>
      <c r="G1703">
        <v>-131.66139999999999</v>
      </c>
      <c r="H1703">
        <v>-8</v>
      </c>
      <c r="I1703">
        <v>7</v>
      </c>
      <c r="J1703" t="str">
        <f>HYPERLINK("https://climate.onebuilding.org/WMO_Region_4_North_and_Central_America/CAN_Canada/BC_British_Columbia/CAN_BC_Rose.Spit.714770_TMYx.2007-2021.zip")</f>
        <v>https://climate.onebuilding.org/WMO_Region_4_North_and_Central_America/CAN_Canada/BC_British_Columbia/CAN_BC_Rose.Spit.714770_TMYx.2007-2021.zip</v>
      </c>
    </row>
    <row r="1704" spans="1:10" x14ac:dyDescent="0.25">
      <c r="A1704" t="s">
        <v>6</v>
      </c>
      <c r="B1704" t="s">
        <v>55</v>
      </c>
      <c r="C1704" t="s">
        <v>864</v>
      </c>
      <c r="D1704">
        <v>714770</v>
      </c>
      <c r="E1704" t="s">
        <v>10</v>
      </c>
      <c r="F1704">
        <v>54.159170000000003</v>
      </c>
      <c r="G1704">
        <v>-131.66139999999999</v>
      </c>
      <c r="H1704">
        <v>-8</v>
      </c>
      <c r="I1704">
        <v>7</v>
      </c>
      <c r="J1704" t="str">
        <f>HYPERLINK("https://climate.onebuilding.org/WMO_Region_4_North_and_Central_America/CAN_Canada/BC_British_Columbia/CAN_BC_Rose.Spit.714770_TMYx.2009-2023.zip")</f>
        <v>https://climate.onebuilding.org/WMO_Region_4_North_and_Central_America/CAN_Canada/BC_British_Columbia/CAN_BC_Rose.Spit.714770_TMYx.2009-2023.zip</v>
      </c>
    </row>
    <row r="1705" spans="1:10" x14ac:dyDescent="0.25">
      <c r="A1705" t="s">
        <v>6</v>
      </c>
      <c r="B1705" t="s">
        <v>55</v>
      </c>
      <c r="C1705" t="s">
        <v>864</v>
      </c>
      <c r="D1705">
        <v>714770</v>
      </c>
      <c r="E1705" t="s">
        <v>10</v>
      </c>
      <c r="F1705">
        <v>54.159170000000003</v>
      </c>
      <c r="G1705">
        <v>-131.66139999999999</v>
      </c>
      <c r="H1705">
        <v>-8</v>
      </c>
      <c r="I1705">
        <v>7</v>
      </c>
      <c r="J1705" t="str">
        <f>HYPERLINK("https://climate.onebuilding.org/WMO_Region_4_North_and_Central_America/CAN_Canada/BC_British_Columbia/CAN_BC_Rose.Spit.714770_TMYx.zip")</f>
        <v>https://climate.onebuilding.org/WMO_Region_4_North_and_Central_America/CAN_Canada/BC_British_Columbia/CAN_BC_Rose.Spit.714770_TMYx.zip</v>
      </c>
    </row>
    <row r="1706" spans="1:10" x14ac:dyDescent="0.25">
      <c r="A1706" t="s">
        <v>6</v>
      </c>
      <c r="B1706" t="s">
        <v>55</v>
      </c>
      <c r="C1706" t="s">
        <v>866</v>
      </c>
      <c r="D1706">
        <v>714780</v>
      </c>
      <c r="E1706" t="s">
        <v>867</v>
      </c>
      <c r="F1706">
        <v>50.821100000000001</v>
      </c>
      <c r="G1706">
        <v>-128.90809999999999</v>
      </c>
      <c r="H1706">
        <v>-8</v>
      </c>
      <c r="I1706">
        <v>111</v>
      </c>
      <c r="J1706" t="str">
        <f>HYPERLINK("https://climate.onebuilding.org/WMO_Region_4_North_and_Central_America/CAN_Canada/BC_British_Columbia/CAN_BC_Sartine.Island.714780_TMYx.2004-2018.zip")</f>
        <v>https://climate.onebuilding.org/WMO_Region_4_North_and_Central_America/CAN_Canada/BC_British_Columbia/CAN_BC_Sartine.Island.714780_TMYx.2004-2018.zip</v>
      </c>
    </row>
    <row r="1707" spans="1:10" x14ac:dyDescent="0.25">
      <c r="A1707" t="s">
        <v>6</v>
      </c>
      <c r="B1707" t="s">
        <v>55</v>
      </c>
      <c r="C1707" t="s">
        <v>866</v>
      </c>
      <c r="D1707">
        <v>714780</v>
      </c>
      <c r="E1707" t="s">
        <v>10</v>
      </c>
      <c r="F1707">
        <v>50.81944</v>
      </c>
      <c r="G1707">
        <v>-128.90610000000001</v>
      </c>
      <c r="H1707">
        <v>-8</v>
      </c>
      <c r="I1707">
        <v>111</v>
      </c>
      <c r="J1707" t="str">
        <f>HYPERLINK("https://climate.onebuilding.org/WMO_Region_4_North_and_Central_America/CAN_Canada/BC_British_Columbia/CAN_BC_Sartine.Island.714780_TMYx.2007-2021.zip")</f>
        <v>https://climate.onebuilding.org/WMO_Region_4_North_and_Central_America/CAN_Canada/BC_British_Columbia/CAN_BC_Sartine.Island.714780_TMYx.2007-2021.zip</v>
      </c>
    </row>
    <row r="1708" spans="1:10" x14ac:dyDescent="0.25">
      <c r="A1708" t="s">
        <v>6</v>
      </c>
      <c r="B1708" t="s">
        <v>55</v>
      </c>
      <c r="C1708" t="s">
        <v>866</v>
      </c>
      <c r="D1708">
        <v>714780</v>
      </c>
      <c r="E1708" t="s">
        <v>10</v>
      </c>
      <c r="F1708">
        <v>50.81944</v>
      </c>
      <c r="G1708">
        <v>-128.90610000000001</v>
      </c>
      <c r="H1708">
        <v>-8</v>
      </c>
      <c r="I1708">
        <v>111</v>
      </c>
      <c r="J1708" t="str">
        <f>HYPERLINK("https://climate.onebuilding.org/WMO_Region_4_North_and_Central_America/CAN_Canada/BC_British_Columbia/CAN_BC_Sartine.Island.714780_TMYx.2009-2023.zip")</f>
        <v>https://climate.onebuilding.org/WMO_Region_4_North_and_Central_America/CAN_Canada/BC_British_Columbia/CAN_BC_Sartine.Island.714780_TMYx.2009-2023.zip</v>
      </c>
    </row>
    <row r="1709" spans="1:10" x14ac:dyDescent="0.25">
      <c r="A1709" t="s">
        <v>6</v>
      </c>
      <c r="B1709" t="s">
        <v>55</v>
      </c>
      <c r="C1709" t="s">
        <v>866</v>
      </c>
      <c r="D1709">
        <v>714780</v>
      </c>
      <c r="E1709" t="s">
        <v>10</v>
      </c>
      <c r="F1709">
        <v>50.81944</v>
      </c>
      <c r="G1709">
        <v>-128.90610000000001</v>
      </c>
      <c r="H1709">
        <v>-8</v>
      </c>
      <c r="I1709">
        <v>111</v>
      </c>
      <c r="J1709" t="str">
        <f>HYPERLINK("https://climate.onebuilding.org/WMO_Region_4_North_and_Central_America/CAN_Canada/BC_British_Columbia/CAN_BC_Sartine.Island.714780_TMYx.zip")</f>
        <v>https://climate.onebuilding.org/WMO_Region_4_North_and_Central_America/CAN_Canada/BC_British_Columbia/CAN_BC_Sartine.Island.714780_TMYx.zip</v>
      </c>
    </row>
    <row r="1710" spans="1:10" x14ac:dyDescent="0.25">
      <c r="A1710" t="s">
        <v>6</v>
      </c>
      <c r="B1710" t="s">
        <v>55</v>
      </c>
      <c r="C1710" t="s">
        <v>868</v>
      </c>
      <c r="D1710">
        <v>714790</v>
      </c>
      <c r="E1710" t="s">
        <v>869</v>
      </c>
      <c r="F1710">
        <v>50.1</v>
      </c>
      <c r="G1710">
        <v>-127.93300000000001</v>
      </c>
      <c r="H1710">
        <v>-8</v>
      </c>
      <c r="I1710">
        <v>99</v>
      </c>
      <c r="J1710" t="str">
        <f>HYPERLINK("https://climate.onebuilding.org/WMO_Region_4_North_and_Central_America/CAN_Canada/BC_British_Columbia/CAN_BC_Solander.Island.Ecological.Reserve.714790_TMYx.2004-2018.zip")</f>
        <v>https://climate.onebuilding.org/WMO_Region_4_North_and_Central_America/CAN_Canada/BC_British_Columbia/CAN_BC_Solander.Island.Ecological.Reserve.714790_TMYx.2004-2018.zip</v>
      </c>
    </row>
    <row r="1711" spans="1:10" x14ac:dyDescent="0.25">
      <c r="A1711" t="s">
        <v>6</v>
      </c>
      <c r="B1711" t="s">
        <v>55</v>
      </c>
      <c r="C1711" t="s">
        <v>868</v>
      </c>
      <c r="D1711">
        <v>714790</v>
      </c>
      <c r="E1711" t="s">
        <v>10</v>
      </c>
      <c r="F1711">
        <v>50.11139</v>
      </c>
      <c r="G1711">
        <v>-127.94029999999999</v>
      </c>
      <c r="H1711">
        <v>-8</v>
      </c>
      <c r="I1711">
        <v>99</v>
      </c>
      <c r="J1711" t="str">
        <f>HYPERLINK("https://climate.onebuilding.org/WMO_Region_4_North_and_Central_America/CAN_Canada/BC_British_Columbia/CAN_BC_Solander.Island.Ecological.Reserve.714790_TMYx.2007-2021.zip")</f>
        <v>https://climate.onebuilding.org/WMO_Region_4_North_and_Central_America/CAN_Canada/BC_British_Columbia/CAN_BC_Solander.Island.Ecological.Reserve.714790_TMYx.2007-2021.zip</v>
      </c>
    </row>
    <row r="1712" spans="1:10" x14ac:dyDescent="0.25">
      <c r="A1712" t="s">
        <v>6</v>
      </c>
      <c r="B1712" t="s">
        <v>55</v>
      </c>
      <c r="C1712" t="s">
        <v>868</v>
      </c>
      <c r="D1712">
        <v>714790</v>
      </c>
      <c r="E1712" t="s">
        <v>10</v>
      </c>
      <c r="F1712">
        <v>50.11139</v>
      </c>
      <c r="G1712">
        <v>-127.94029999999999</v>
      </c>
      <c r="H1712">
        <v>-8</v>
      </c>
      <c r="I1712">
        <v>99</v>
      </c>
      <c r="J1712" t="str">
        <f>HYPERLINK("https://climate.onebuilding.org/WMO_Region_4_North_and_Central_America/CAN_Canada/BC_British_Columbia/CAN_BC_Solander.Island.Ecological.Reserve.714790_TMYx.2009-2023.zip")</f>
        <v>https://climate.onebuilding.org/WMO_Region_4_North_and_Central_America/CAN_Canada/BC_British_Columbia/CAN_BC_Solander.Island.Ecological.Reserve.714790_TMYx.2009-2023.zip</v>
      </c>
    </row>
    <row r="1713" spans="1:10" x14ac:dyDescent="0.25">
      <c r="A1713" t="s">
        <v>6</v>
      </c>
      <c r="B1713" t="s">
        <v>55</v>
      </c>
      <c r="C1713" t="s">
        <v>868</v>
      </c>
      <c r="D1713">
        <v>714790</v>
      </c>
      <c r="E1713" t="s">
        <v>10</v>
      </c>
      <c r="F1713">
        <v>50.11139</v>
      </c>
      <c r="G1713">
        <v>-127.94029999999999</v>
      </c>
      <c r="H1713">
        <v>-8</v>
      </c>
      <c r="I1713">
        <v>99</v>
      </c>
      <c r="J1713" t="str">
        <f>HYPERLINK("https://climate.onebuilding.org/WMO_Region_4_North_and_Central_America/CAN_Canada/BC_British_Columbia/CAN_BC_Solander.Island.Ecological.Reserve.714790_TMYx.zip")</f>
        <v>https://climate.onebuilding.org/WMO_Region_4_North_and_Central_America/CAN_Canada/BC_British_Columbia/CAN_BC_Solander.Island.Ecological.Reserve.714790_TMYx.zip</v>
      </c>
    </row>
    <row r="1714" spans="1:10" x14ac:dyDescent="0.25">
      <c r="A1714" t="s">
        <v>6</v>
      </c>
      <c r="B1714" t="s">
        <v>48</v>
      </c>
      <c r="C1714" t="s">
        <v>870</v>
      </c>
      <c r="D1714">
        <v>714800</v>
      </c>
      <c r="E1714" t="s">
        <v>10</v>
      </c>
      <c r="F1714">
        <v>65.287499999999994</v>
      </c>
      <c r="G1714">
        <v>-126.7533</v>
      </c>
      <c r="H1714">
        <v>-7</v>
      </c>
      <c r="I1714">
        <v>93.6</v>
      </c>
      <c r="J1714" t="str">
        <f>HYPERLINK("https://climate.onebuilding.org/WMO_Region_4_North_and_Central_America/CAN_Canada/NT_Northwest_Territories/CAN_NT_Norman.Wells.CS.714800_TMYx.2007-2021.zip")</f>
        <v>https://climate.onebuilding.org/WMO_Region_4_North_and_Central_America/CAN_Canada/NT_Northwest_Territories/CAN_NT_Norman.Wells.CS.714800_TMYx.2007-2021.zip</v>
      </c>
    </row>
    <row r="1715" spans="1:10" x14ac:dyDescent="0.25">
      <c r="A1715" t="s">
        <v>6</v>
      </c>
      <c r="B1715" t="s">
        <v>48</v>
      </c>
      <c r="C1715" t="s">
        <v>870</v>
      </c>
      <c r="D1715">
        <v>714800</v>
      </c>
      <c r="E1715" t="s">
        <v>10</v>
      </c>
      <c r="F1715">
        <v>65.287499999999994</v>
      </c>
      <c r="G1715">
        <v>-126.7533</v>
      </c>
      <c r="H1715">
        <v>-7</v>
      </c>
      <c r="I1715">
        <v>93.6</v>
      </c>
      <c r="J1715" t="str">
        <f>HYPERLINK("https://climate.onebuilding.org/WMO_Region_4_North_and_Central_America/CAN_Canada/NT_Northwest_Territories/CAN_NT_Norman.Wells.CS.714800_TMYx.2009-2023.zip")</f>
        <v>https://climate.onebuilding.org/WMO_Region_4_North_and_Central_America/CAN_Canada/NT_Northwest_Territories/CAN_NT_Norman.Wells.CS.714800_TMYx.2009-2023.zip</v>
      </c>
    </row>
    <row r="1716" spans="1:10" x14ac:dyDescent="0.25">
      <c r="A1716" t="s">
        <v>6</v>
      </c>
      <c r="B1716" t="s">
        <v>48</v>
      </c>
      <c r="C1716" t="s">
        <v>870</v>
      </c>
      <c r="D1716">
        <v>714800</v>
      </c>
      <c r="E1716" t="s">
        <v>10</v>
      </c>
      <c r="F1716">
        <v>65.287499999999994</v>
      </c>
      <c r="G1716">
        <v>-126.7533</v>
      </c>
      <c r="H1716">
        <v>-7</v>
      </c>
      <c r="I1716">
        <v>93.6</v>
      </c>
      <c r="J1716" t="str">
        <f>HYPERLINK("https://climate.onebuilding.org/WMO_Region_4_North_and_Central_America/CAN_Canada/NT_Northwest_Territories/CAN_NT_Norman.Wells.CS.714800_TMYx.zip")</f>
        <v>https://climate.onebuilding.org/WMO_Region_4_North_and_Central_America/CAN_Canada/NT_Northwest_Territories/CAN_NT_Norman.Wells.CS.714800_TMYx.zip</v>
      </c>
    </row>
    <row r="1717" spans="1:10" x14ac:dyDescent="0.25">
      <c r="A1717" t="s">
        <v>6</v>
      </c>
      <c r="B1717" t="s">
        <v>17</v>
      </c>
      <c r="C1717" t="s">
        <v>871</v>
      </c>
      <c r="D1717">
        <v>714810</v>
      </c>
      <c r="E1717" t="s">
        <v>872</v>
      </c>
      <c r="F1717">
        <v>53.567</v>
      </c>
      <c r="G1717">
        <v>-115.117</v>
      </c>
      <c r="H1717">
        <v>-7</v>
      </c>
      <c r="I1717">
        <v>819</v>
      </c>
      <c r="J1717" t="str">
        <f>HYPERLINK("https://climate.onebuilding.org/WMO_Region_4_North_and_Central_America/CAN_Canada/AB_Alberta/CAN_AB_Evansburg.AgCM.714810_TMYx.2004-2018.zip")</f>
        <v>https://climate.onebuilding.org/WMO_Region_4_North_and_Central_America/CAN_Canada/AB_Alberta/CAN_AB_Evansburg.AgCM.714810_TMYx.2004-2018.zip</v>
      </c>
    </row>
    <row r="1718" spans="1:10" x14ac:dyDescent="0.25">
      <c r="A1718" t="s">
        <v>6</v>
      </c>
      <c r="B1718" t="s">
        <v>17</v>
      </c>
      <c r="C1718" t="s">
        <v>871</v>
      </c>
      <c r="D1718">
        <v>714810</v>
      </c>
      <c r="E1718" t="s">
        <v>10</v>
      </c>
      <c r="F1718">
        <v>53.567</v>
      </c>
      <c r="G1718">
        <v>-115.117</v>
      </c>
      <c r="H1718">
        <v>-7</v>
      </c>
      <c r="I1718">
        <v>819</v>
      </c>
      <c r="J1718" t="str">
        <f>HYPERLINK("https://climate.onebuilding.org/WMO_Region_4_North_and_Central_America/CAN_Canada/AB_Alberta/CAN_AB_Evansburg.AgCM.714810_TMYx.2007-2021.zip")</f>
        <v>https://climate.onebuilding.org/WMO_Region_4_North_and_Central_America/CAN_Canada/AB_Alberta/CAN_AB_Evansburg.AgCM.714810_TMYx.2007-2021.zip</v>
      </c>
    </row>
    <row r="1719" spans="1:10" x14ac:dyDescent="0.25">
      <c r="A1719" t="s">
        <v>6</v>
      </c>
      <c r="B1719" t="s">
        <v>17</v>
      </c>
      <c r="C1719" t="s">
        <v>871</v>
      </c>
      <c r="D1719">
        <v>714810</v>
      </c>
      <c r="E1719" t="s">
        <v>10</v>
      </c>
      <c r="F1719">
        <v>53.567</v>
      </c>
      <c r="G1719">
        <v>-115.117</v>
      </c>
      <c r="H1719">
        <v>-7</v>
      </c>
      <c r="I1719">
        <v>819</v>
      </c>
      <c r="J1719" t="str">
        <f>HYPERLINK("https://climate.onebuilding.org/WMO_Region_4_North_and_Central_America/CAN_Canada/AB_Alberta/CAN_AB_Evansburg.AgCM.714810_TMYx.2009-2023.zip")</f>
        <v>https://climate.onebuilding.org/WMO_Region_4_North_and_Central_America/CAN_Canada/AB_Alberta/CAN_AB_Evansburg.AgCM.714810_TMYx.2009-2023.zip</v>
      </c>
    </row>
    <row r="1720" spans="1:10" x14ac:dyDescent="0.25">
      <c r="A1720" t="s">
        <v>6</v>
      </c>
      <c r="B1720" t="s">
        <v>17</v>
      </c>
      <c r="C1720" t="s">
        <v>871</v>
      </c>
      <c r="D1720">
        <v>714810</v>
      </c>
      <c r="E1720" t="s">
        <v>10</v>
      </c>
      <c r="F1720">
        <v>53.567</v>
      </c>
      <c r="G1720">
        <v>-115.117</v>
      </c>
      <c r="H1720">
        <v>-7</v>
      </c>
      <c r="I1720">
        <v>819</v>
      </c>
      <c r="J1720" t="str">
        <f>HYPERLINK("https://climate.onebuilding.org/WMO_Region_4_North_and_Central_America/CAN_Canada/AB_Alberta/CAN_AB_Evansburg.AgCM.714810_TMYx.zip")</f>
        <v>https://climate.onebuilding.org/WMO_Region_4_North_and_Central_America/CAN_Canada/AB_Alberta/CAN_AB_Evansburg.AgCM.714810_TMYx.zip</v>
      </c>
    </row>
    <row r="1721" spans="1:10" x14ac:dyDescent="0.25">
      <c r="A1721" t="s">
        <v>6</v>
      </c>
      <c r="B1721" t="s">
        <v>55</v>
      </c>
      <c r="C1721" t="s">
        <v>873</v>
      </c>
      <c r="D1721">
        <v>714820</v>
      </c>
      <c r="E1721" t="s">
        <v>874</v>
      </c>
      <c r="F1721">
        <v>52.1875</v>
      </c>
      <c r="G1721">
        <v>-127.47110000000001</v>
      </c>
      <c r="H1721">
        <v>-8</v>
      </c>
      <c r="I1721">
        <v>25.7</v>
      </c>
      <c r="J1721" t="str">
        <f>HYPERLINK("https://climate.onebuilding.org/WMO_Region_4_North_and_Central_America/CAN_Canada/BC_British_Columbia/CAN_BC_Cathedral.Point.714820_TMYx.2004-2018.zip")</f>
        <v>https://climate.onebuilding.org/WMO_Region_4_North_and_Central_America/CAN_Canada/BC_British_Columbia/CAN_BC_Cathedral.Point.714820_TMYx.2004-2018.zip</v>
      </c>
    </row>
    <row r="1722" spans="1:10" x14ac:dyDescent="0.25">
      <c r="A1722" t="s">
        <v>6</v>
      </c>
      <c r="B1722" t="s">
        <v>55</v>
      </c>
      <c r="C1722" t="s">
        <v>873</v>
      </c>
      <c r="D1722">
        <v>714820</v>
      </c>
      <c r="E1722" t="s">
        <v>10</v>
      </c>
      <c r="F1722">
        <v>52.1875</v>
      </c>
      <c r="G1722">
        <v>-127.47110000000001</v>
      </c>
      <c r="H1722">
        <v>-8</v>
      </c>
      <c r="I1722">
        <v>25.7</v>
      </c>
      <c r="J1722" t="str">
        <f>HYPERLINK("https://climate.onebuilding.org/WMO_Region_4_North_and_Central_America/CAN_Canada/BC_British_Columbia/CAN_BC_Cathedral.Point.714820_TMYx.2007-2021.zip")</f>
        <v>https://climate.onebuilding.org/WMO_Region_4_North_and_Central_America/CAN_Canada/BC_British_Columbia/CAN_BC_Cathedral.Point.714820_TMYx.2007-2021.zip</v>
      </c>
    </row>
    <row r="1723" spans="1:10" x14ac:dyDescent="0.25">
      <c r="A1723" t="s">
        <v>6</v>
      </c>
      <c r="B1723" t="s">
        <v>55</v>
      </c>
      <c r="C1723" t="s">
        <v>873</v>
      </c>
      <c r="D1723">
        <v>714820</v>
      </c>
      <c r="E1723" t="s">
        <v>10</v>
      </c>
      <c r="F1723">
        <v>52.1875</v>
      </c>
      <c r="G1723">
        <v>-127.47110000000001</v>
      </c>
      <c r="H1723">
        <v>-8</v>
      </c>
      <c r="I1723">
        <v>25.7</v>
      </c>
      <c r="J1723" t="str">
        <f>HYPERLINK("https://climate.onebuilding.org/WMO_Region_4_North_and_Central_America/CAN_Canada/BC_British_Columbia/CAN_BC_Cathedral.Point.714820_TMYx.2009-2023.zip")</f>
        <v>https://climate.onebuilding.org/WMO_Region_4_North_and_Central_America/CAN_Canada/BC_British_Columbia/CAN_BC_Cathedral.Point.714820_TMYx.2009-2023.zip</v>
      </c>
    </row>
    <row r="1724" spans="1:10" x14ac:dyDescent="0.25">
      <c r="A1724" t="s">
        <v>6</v>
      </c>
      <c r="B1724" t="s">
        <v>55</v>
      </c>
      <c r="C1724" t="s">
        <v>873</v>
      </c>
      <c r="D1724">
        <v>714820</v>
      </c>
      <c r="E1724" t="s">
        <v>10</v>
      </c>
      <c r="F1724">
        <v>52.1875</v>
      </c>
      <c r="G1724">
        <v>-127.47110000000001</v>
      </c>
      <c r="H1724">
        <v>-8</v>
      </c>
      <c r="I1724">
        <v>25.7</v>
      </c>
      <c r="J1724" t="str">
        <f>HYPERLINK("https://climate.onebuilding.org/WMO_Region_4_North_and_Central_America/CAN_Canada/BC_British_Columbia/CAN_BC_Cathedral.Point.714820_TMYx.zip")</f>
        <v>https://climate.onebuilding.org/WMO_Region_4_North_and_Central_America/CAN_Canada/BC_British_Columbia/CAN_BC_Cathedral.Point.714820_TMYx.zip</v>
      </c>
    </row>
    <row r="1725" spans="1:10" x14ac:dyDescent="0.25">
      <c r="A1725" t="s">
        <v>6</v>
      </c>
      <c r="B1725" t="s">
        <v>17</v>
      </c>
      <c r="C1725" t="s">
        <v>875</v>
      </c>
      <c r="D1725">
        <v>714830</v>
      </c>
      <c r="E1725" t="s">
        <v>876</v>
      </c>
      <c r="F1725">
        <v>54.410299999999999</v>
      </c>
      <c r="G1725">
        <v>-114.7692</v>
      </c>
      <c r="H1725">
        <v>-7</v>
      </c>
      <c r="I1725">
        <v>676</v>
      </c>
      <c r="J1725" t="str">
        <f>HYPERLINK("https://climate.onebuilding.org/WMO_Region_4_North_and_Central_America/CAN_Canada/AB_Alberta/CAN_AB_Fort.Assiniboine.AgCM.714830_TMYx.2004-2018.zip")</f>
        <v>https://climate.onebuilding.org/WMO_Region_4_North_and_Central_America/CAN_Canada/AB_Alberta/CAN_AB_Fort.Assiniboine.AgCM.714830_TMYx.2004-2018.zip</v>
      </c>
    </row>
    <row r="1726" spans="1:10" x14ac:dyDescent="0.25">
      <c r="A1726" t="s">
        <v>6</v>
      </c>
      <c r="B1726" t="s">
        <v>17</v>
      </c>
      <c r="C1726" t="s">
        <v>875</v>
      </c>
      <c r="D1726">
        <v>714830</v>
      </c>
      <c r="E1726" t="s">
        <v>10</v>
      </c>
      <c r="F1726">
        <v>54.410299999999999</v>
      </c>
      <c r="G1726">
        <v>-114.7692</v>
      </c>
      <c r="H1726">
        <v>-7</v>
      </c>
      <c r="I1726">
        <v>676</v>
      </c>
      <c r="J1726" t="str">
        <f>HYPERLINK("https://climate.onebuilding.org/WMO_Region_4_North_and_Central_America/CAN_Canada/AB_Alberta/CAN_AB_Fort.Assiniboine.AgCM.714830_TMYx.2007-2021.zip")</f>
        <v>https://climate.onebuilding.org/WMO_Region_4_North_and_Central_America/CAN_Canada/AB_Alberta/CAN_AB_Fort.Assiniboine.AgCM.714830_TMYx.2007-2021.zip</v>
      </c>
    </row>
    <row r="1727" spans="1:10" x14ac:dyDescent="0.25">
      <c r="A1727" t="s">
        <v>6</v>
      </c>
      <c r="B1727" t="s">
        <v>17</v>
      </c>
      <c r="C1727" t="s">
        <v>875</v>
      </c>
      <c r="D1727">
        <v>714830</v>
      </c>
      <c r="E1727" t="s">
        <v>10</v>
      </c>
      <c r="F1727">
        <v>54.410299999999999</v>
      </c>
      <c r="G1727">
        <v>-114.7692</v>
      </c>
      <c r="H1727">
        <v>-7</v>
      </c>
      <c r="I1727">
        <v>676</v>
      </c>
      <c r="J1727" t="str">
        <f>HYPERLINK("https://climate.onebuilding.org/WMO_Region_4_North_and_Central_America/CAN_Canada/AB_Alberta/CAN_AB_Fort.Assiniboine.AgCM.714830_TMYx.2009-2023.zip")</f>
        <v>https://climate.onebuilding.org/WMO_Region_4_North_and_Central_America/CAN_Canada/AB_Alberta/CAN_AB_Fort.Assiniboine.AgCM.714830_TMYx.2009-2023.zip</v>
      </c>
    </row>
    <row r="1728" spans="1:10" x14ac:dyDescent="0.25">
      <c r="A1728" t="s">
        <v>6</v>
      </c>
      <c r="B1728" t="s">
        <v>17</v>
      </c>
      <c r="C1728" t="s">
        <v>875</v>
      </c>
      <c r="D1728">
        <v>714830</v>
      </c>
      <c r="E1728" t="s">
        <v>10</v>
      </c>
      <c r="F1728">
        <v>54.410299999999999</v>
      </c>
      <c r="G1728">
        <v>-114.7692</v>
      </c>
      <c r="H1728">
        <v>-7</v>
      </c>
      <c r="I1728">
        <v>676</v>
      </c>
      <c r="J1728" t="str">
        <f>HYPERLINK("https://climate.onebuilding.org/WMO_Region_4_North_and_Central_America/CAN_Canada/AB_Alberta/CAN_AB_Fort.Assiniboine.AgCM.714830_TMYx.zip")</f>
        <v>https://climate.onebuilding.org/WMO_Region_4_North_and_Central_America/CAN_Canada/AB_Alberta/CAN_AB_Fort.Assiniboine.AgCM.714830_TMYx.zip</v>
      </c>
    </row>
    <row r="1729" spans="1:10" x14ac:dyDescent="0.25">
      <c r="A1729" t="s">
        <v>6</v>
      </c>
      <c r="B1729" t="s">
        <v>55</v>
      </c>
      <c r="C1729" t="s">
        <v>877</v>
      </c>
      <c r="D1729">
        <v>714840</v>
      </c>
      <c r="E1729" t="s">
        <v>878</v>
      </c>
      <c r="F1729">
        <v>53.492800000000003</v>
      </c>
      <c r="G1729">
        <v>-130.63890000000001</v>
      </c>
      <c r="H1729">
        <v>-8</v>
      </c>
      <c r="I1729">
        <v>14</v>
      </c>
      <c r="J1729" t="str">
        <f>HYPERLINK("https://climate.onebuilding.org/WMO_Region_4_North_and_Central_America/CAN_Canada/BC_British_Columbia/CAN_BC_Bonilla.Island.714840_TMYx.2004-2018.zip")</f>
        <v>https://climate.onebuilding.org/WMO_Region_4_North_and_Central_America/CAN_Canada/BC_British_Columbia/CAN_BC_Bonilla.Island.714840_TMYx.2004-2018.zip</v>
      </c>
    </row>
    <row r="1730" spans="1:10" x14ac:dyDescent="0.25">
      <c r="A1730" t="s">
        <v>6</v>
      </c>
      <c r="B1730" t="s">
        <v>55</v>
      </c>
      <c r="C1730" t="s">
        <v>877</v>
      </c>
      <c r="D1730">
        <v>714840</v>
      </c>
      <c r="E1730" t="s">
        <v>10</v>
      </c>
      <c r="F1730">
        <v>53.493000000000002</v>
      </c>
      <c r="G1730">
        <v>-130.637</v>
      </c>
      <c r="H1730">
        <v>-8</v>
      </c>
      <c r="I1730">
        <v>14</v>
      </c>
      <c r="J1730" t="str">
        <f>HYPERLINK("https://climate.onebuilding.org/WMO_Region_4_North_and_Central_America/CAN_Canada/BC_British_Columbia/CAN_BC_Bonilla.Island.714840_TMYx.2007-2021.zip")</f>
        <v>https://climate.onebuilding.org/WMO_Region_4_North_and_Central_America/CAN_Canada/BC_British_Columbia/CAN_BC_Bonilla.Island.714840_TMYx.2007-2021.zip</v>
      </c>
    </row>
    <row r="1731" spans="1:10" x14ac:dyDescent="0.25">
      <c r="A1731" t="s">
        <v>6</v>
      </c>
      <c r="B1731" t="s">
        <v>55</v>
      </c>
      <c r="C1731" t="s">
        <v>877</v>
      </c>
      <c r="D1731">
        <v>714840</v>
      </c>
      <c r="E1731" t="s">
        <v>10</v>
      </c>
      <c r="F1731">
        <v>53.493000000000002</v>
      </c>
      <c r="G1731">
        <v>-130.637</v>
      </c>
      <c r="H1731">
        <v>-8</v>
      </c>
      <c r="I1731">
        <v>14</v>
      </c>
      <c r="J1731" t="str">
        <f>HYPERLINK("https://climate.onebuilding.org/WMO_Region_4_North_and_Central_America/CAN_Canada/BC_British_Columbia/CAN_BC_Bonilla.Island.714840_TMYx.2009-2023.zip")</f>
        <v>https://climate.onebuilding.org/WMO_Region_4_North_and_Central_America/CAN_Canada/BC_British_Columbia/CAN_BC_Bonilla.Island.714840_TMYx.2009-2023.zip</v>
      </c>
    </row>
    <row r="1732" spans="1:10" x14ac:dyDescent="0.25">
      <c r="A1732" t="s">
        <v>6</v>
      </c>
      <c r="B1732" t="s">
        <v>55</v>
      </c>
      <c r="C1732" t="s">
        <v>877</v>
      </c>
      <c r="D1732">
        <v>714840</v>
      </c>
      <c r="E1732" t="s">
        <v>10</v>
      </c>
      <c r="F1732">
        <v>53.493000000000002</v>
      </c>
      <c r="G1732">
        <v>-130.637</v>
      </c>
      <c r="H1732">
        <v>-8</v>
      </c>
      <c r="I1732">
        <v>14</v>
      </c>
      <c r="J1732" t="str">
        <f>HYPERLINK("https://climate.onebuilding.org/WMO_Region_4_North_and_Central_America/CAN_Canada/BC_British_Columbia/CAN_BC_Bonilla.Island.714840_TMYx.zip")</f>
        <v>https://climate.onebuilding.org/WMO_Region_4_North_and_Central_America/CAN_Canada/BC_British_Columbia/CAN_BC_Bonilla.Island.714840_TMYx.zip</v>
      </c>
    </row>
    <row r="1733" spans="1:10" x14ac:dyDescent="0.25">
      <c r="A1733" t="s">
        <v>6</v>
      </c>
      <c r="B1733" t="s">
        <v>55</v>
      </c>
      <c r="C1733" t="s">
        <v>879</v>
      </c>
      <c r="D1733">
        <v>714850</v>
      </c>
      <c r="E1733" t="s">
        <v>880</v>
      </c>
      <c r="F1733">
        <v>50.933</v>
      </c>
      <c r="G1733">
        <v>-127.65</v>
      </c>
      <c r="H1733">
        <v>-8</v>
      </c>
      <c r="I1733">
        <v>1605</v>
      </c>
      <c r="J1733" t="str">
        <f>HYPERLINK("https://climate.onebuilding.org/WMO_Region_4_North_and_Central_America/CAN_Canada/BC_British_Columbia/CAN_BC_Herbert.Island.714850_TMYx.2004-2018.zip")</f>
        <v>https://climate.onebuilding.org/WMO_Region_4_North_and_Central_America/CAN_Canada/BC_British_Columbia/CAN_BC_Herbert.Island.714850_TMYx.2004-2018.zip</v>
      </c>
    </row>
    <row r="1734" spans="1:10" x14ac:dyDescent="0.25">
      <c r="A1734" t="s">
        <v>6</v>
      </c>
      <c r="B1734" t="s">
        <v>55</v>
      </c>
      <c r="C1734" t="s">
        <v>879</v>
      </c>
      <c r="D1734">
        <v>714850</v>
      </c>
      <c r="E1734" t="s">
        <v>10</v>
      </c>
      <c r="F1734">
        <v>50.94</v>
      </c>
      <c r="G1734">
        <v>-127.6322</v>
      </c>
      <c r="H1734">
        <v>-8</v>
      </c>
      <c r="I1734">
        <v>13</v>
      </c>
      <c r="J1734" t="str">
        <f>HYPERLINK("https://climate.onebuilding.org/WMO_Region_4_North_and_Central_America/CAN_Canada/BC_British_Columbia/CAN_BC_Herbert.Island.714850_TMYx.2007-2021.zip")</f>
        <v>https://climate.onebuilding.org/WMO_Region_4_North_and_Central_America/CAN_Canada/BC_British_Columbia/CAN_BC_Herbert.Island.714850_TMYx.2007-2021.zip</v>
      </c>
    </row>
    <row r="1735" spans="1:10" x14ac:dyDescent="0.25">
      <c r="A1735" t="s">
        <v>6</v>
      </c>
      <c r="B1735" t="s">
        <v>55</v>
      </c>
      <c r="C1735" t="s">
        <v>879</v>
      </c>
      <c r="D1735">
        <v>714850</v>
      </c>
      <c r="E1735" t="s">
        <v>10</v>
      </c>
      <c r="F1735">
        <v>50.94</v>
      </c>
      <c r="G1735">
        <v>-127.6322</v>
      </c>
      <c r="H1735">
        <v>-8</v>
      </c>
      <c r="I1735">
        <v>13</v>
      </c>
      <c r="J1735" t="str">
        <f>HYPERLINK("https://climate.onebuilding.org/WMO_Region_4_North_and_Central_America/CAN_Canada/BC_British_Columbia/CAN_BC_Herbert.Island.714850_TMYx.2009-2023.zip")</f>
        <v>https://climate.onebuilding.org/WMO_Region_4_North_and_Central_America/CAN_Canada/BC_British_Columbia/CAN_BC_Herbert.Island.714850_TMYx.2009-2023.zip</v>
      </c>
    </row>
    <row r="1736" spans="1:10" x14ac:dyDescent="0.25">
      <c r="A1736" t="s">
        <v>6</v>
      </c>
      <c r="B1736" t="s">
        <v>55</v>
      </c>
      <c r="C1736" t="s">
        <v>879</v>
      </c>
      <c r="D1736">
        <v>714850</v>
      </c>
      <c r="E1736" t="s">
        <v>10</v>
      </c>
      <c r="F1736">
        <v>50.94</v>
      </c>
      <c r="G1736">
        <v>-127.6322</v>
      </c>
      <c r="H1736">
        <v>-8</v>
      </c>
      <c r="I1736">
        <v>13</v>
      </c>
      <c r="J1736" t="str">
        <f>HYPERLINK("https://climate.onebuilding.org/WMO_Region_4_North_and_Central_America/CAN_Canada/BC_British_Columbia/CAN_BC_Herbert.Island.714850_TMYx.zip")</f>
        <v>https://climate.onebuilding.org/WMO_Region_4_North_and_Central_America/CAN_Canada/BC_British_Columbia/CAN_BC_Herbert.Island.714850_TMYx.zip</v>
      </c>
    </row>
    <row r="1737" spans="1:10" x14ac:dyDescent="0.25">
      <c r="A1737" t="s">
        <v>6</v>
      </c>
      <c r="B1737" t="s">
        <v>17</v>
      </c>
      <c r="C1737" t="s">
        <v>881</v>
      </c>
      <c r="D1737">
        <v>714860</v>
      </c>
      <c r="E1737" t="s">
        <v>882</v>
      </c>
      <c r="F1737">
        <v>52.926400000000001</v>
      </c>
      <c r="G1737">
        <v>-118.02970000000001</v>
      </c>
      <c r="H1737">
        <v>-7</v>
      </c>
      <c r="I1737">
        <v>1020</v>
      </c>
      <c r="J1737" t="str">
        <f>HYPERLINK("https://climate.onebuilding.org/WMO_Region_4_North_and_Central_America/CAN_Canada/AB_Alberta/CAN_AB_Jasper-Warden.714860_TMYx.2004-2018.zip")</f>
        <v>https://climate.onebuilding.org/WMO_Region_4_North_and_Central_America/CAN_Canada/AB_Alberta/CAN_AB_Jasper-Warden.714860_TMYx.2004-2018.zip</v>
      </c>
    </row>
    <row r="1738" spans="1:10" x14ac:dyDescent="0.25">
      <c r="A1738" t="s">
        <v>6</v>
      </c>
      <c r="B1738" t="s">
        <v>17</v>
      </c>
      <c r="C1738" t="s">
        <v>881</v>
      </c>
      <c r="D1738">
        <v>714860</v>
      </c>
      <c r="E1738" t="s">
        <v>10</v>
      </c>
      <c r="F1738">
        <v>52.926400000000001</v>
      </c>
      <c r="G1738">
        <v>-118.02970000000001</v>
      </c>
      <c r="H1738">
        <v>-7</v>
      </c>
      <c r="I1738">
        <v>1020</v>
      </c>
      <c r="J1738" t="str">
        <f>HYPERLINK("https://climate.onebuilding.org/WMO_Region_4_North_and_Central_America/CAN_Canada/AB_Alberta/CAN_AB_Jasper-Warden.714860_TMYx.2007-2021.zip")</f>
        <v>https://climate.onebuilding.org/WMO_Region_4_North_and_Central_America/CAN_Canada/AB_Alberta/CAN_AB_Jasper-Warden.714860_TMYx.2007-2021.zip</v>
      </c>
    </row>
    <row r="1739" spans="1:10" x14ac:dyDescent="0.25">
      <c r="A1739" t="s">
        <v>6</v>
      </c>
      <c r="B1739" t="s">
        <v>17</v>
      </c>
      <c r="C1739" t="s">
        <v>881</v>
      </c>
      <c r="D1739">
        <v>714860</v>
      </c>
      <c r="E1739" t="s">
        <v>10</v>
      </c>
      <c r="F1739">
        <v>52.926400000000001</v>
      </c>
      <c r="G1739">
        <v>-118.02970000000001</v>
      </c>
      <c r="H1739">
        <v>-7</v>
      </c>
      <c r="I1739">
        <v>1020</v>
      </c>
      <c r="J1739" t="str">
        <f>HYPERLINK("https://climate.onebuilding.org/WMO_Region_4_North_and_Central_America/CAN_Canada/AB_Alberta/CAN_AB_Jasper-Warden.714860_TMYx.2009-2023.zip")</f>
        <v>https://climate.onebuilding.org/WMO_Region_4_North_and_Central_America/CAN_Canada/AB_Alberta/CAN_AB_Jasper-Warden.714860_TMYx.2009-2023.zip</v>
      </c>
    </row>
    <row r="1740" spans="1:10" x14ac:dyDescent="0.25">
      <c r="A1740" t="s">
        <v>6</v>
      </c>
      <c r="B1740" t="s">
        <v>17</v>
      </c>
      <c r="C1740" t="s">
        <v>881</v>
      </c>
      <c r="D1740">
        <v>714860</v>
      </c>
      <c r="E1740" t="s">
        <v>10</v>
      </c>
      <c r="F1740">
        <v>52.926400000000001</v>
      </c>
      <c r="G1740">
        <v>-118.02970000000001</v>
      </c>
      <c r="H1740">
        <v>-7</v>
      </c>
      <c r="I1740">
        <v>1020</v>
      </c>
      <c r="J1740" t="str">
        <f>HYPERLINK("https://climate.onebuilding.org/WMO_Region_4_North_and_Central_America/CAN_Canada/AB_Alberta/CAN_AB_Jasper-Warden.714860_TMYx.zip")</f>
        <v>https://climate.onebuilding.org/WMO_Region_4_North_and_Central_America/CAN_Canada/AB_Alberta/CAN_AB_Jasper-Warden.714860_TMYx.zip</v>
      </c>
    </row>
    <row r="1741" spans="1:10" x14ac:dyDescent="0.25">
      <c r="A1741" t="s">
        <v>6</v>
      </c>
      <c r="B1741" t="s">
        <v>58</v>
      </c>
      <c r="C1741" t="s">
        <v>883</v>
      </c>
      <c r="D1741">
        <v>714870</v>
      </c>
      <c r="E1741" t="s">
        <v>884</v>
      </c>
      <c r="F1741">
        <v>49.729199999999999</v>
      </c>
      <c r="G1741">
        <v>-105.9461</v>
      </c>
      <c r="H1741">
        <v>-6</v>
      </c>
      <c r="I1741">
        <v>725.5</v>
      </c>
      <c r="J1741" t="str">
        <f>HYPERLINK("https://climate.onebuilding.org/WMO_Region_4_North_and_Central_America/CAN_Canada/SK_Saskatchewan/CAN_SK_Assiniboia.AP.714870_TMYx.2004-2018.zip")</f>
        <v>https://climate.onebuilding.org/WMO_Region_4_North_and_Central_America/CAN_Canada/SK_Saskatchewan/CAN_SK_Assiniboia.AP.714870_TMYx.2004-2018.zip</v>
      </c>
    </row>
    <row r="1742" spans="1:10" x14ac:dyDescent="0.25">
      <c r="A1742" t="s">
        <v>6</v>
      </c>
      <c r="B1742" t="s">
        <v>58</v>
      </c>
      <c r="C1742" t="s">
        <v>883</v>
      </c>
      <c r="D1742">
        <v>714870</v>
      </c>
      <c r="E1742" t="s">
        <v>10</v>
      </c>
      <c r="F1742">
        <v>49.729199999999999</v>
      </c>
      <c r="G1742">
        <v>-105.9461</v>
      </c>
      <c r="H1742">
        <v>-6</v>
      </c>
      <c r="I1742">
        <v>725.5</v>
      </c>
      <c r="J1742" t="str">
        <f>HYPERLINK("https://climate.onebuilding.org/WMO_Region_4_North_and_Central_America/CAN_Canada/SK_Saskatchewan/CAN_SK_Assiniboia.AP.714870_TMYx.2007-2021.zip")</f>
        <v>https://climate.onebuilding.org/WMO_Region_4_North_and_Central_America/CAN_Canada/SK_Saskatchewan/CAN_SK_Assiniboia.AP.714870_TMYx.2007-2021.zip</v>
      </c>
    </row>
    <row r="1743" spans="1:10" x14ac:dyDescent="0.25">
      <c r="A1743" t="s">
        <v>6</v>
      </c>
      <c r="B1743" t="s">
        <v>58</v>
      </c>
      <c r="C1743" t="s">
        <v>883</v>
      </c>
      <c r="D1743">
        <v>714870</v>
      </c>
      <c r="E1743" t="s">
        <v>10</v>
      </c>
      <c r="F1743">
        <v>49.729199999999999</v>
      </c>
      <c r="G1743">
        <v>-105.9461</v>
      </c>
      <c r="H1743">
        <v>-6</v>
      </c>
      <c r="I1743">
        <v>725.5</v>
      </c>
      <c r="J1743" t="str">
        <f>HYPERLINK("https://climate.onebuilding.org/WMO_Region_4_North_and_Central_America/CAN_Canada/SK_Saskatchewan/CAN_SK_Assiniboia.AP.714870_TMYx.2009-2023.zip")</f>
        <v>https://climate.onebuilding.org/WMO_Region_4_North_and_Central_America/CAN_Canada/SK_Saskatchewan/CAN_SK_Assiniboia.AP.714870_TMYx.2009-2023.zip</v>
      </c>
    </row>
    <row r="1744" spans="1:10" x14ac:dyDescent="0.25">
      <c r="A1744" t="s">
        <v>6</v>
      </c>
      <c r="B1744" t="s">
        <v>58</v>
      </c>
      <c r="C1744" t="s">
        <v>883</v>
      </c>
      <c r="D1744">
        <v>714870</v>
      </c>
      <c r="E1744" t="s">
        <v>10</v>
      </c>
      <c r="F1744">
        <v>49.729199999999999</v>
      </c>
      <c r="G1744">
        <v>-105.9461</v>
      </c>
      <c r="H1744">
        <v>-6</v>
      </c>
      <c r="I1744">
        <v>725.5</v>
      </c>
      <c r="J1744" t="str">
        <f>HYPERLINK("https://climate.onebuilding.org/WMO_Region_4_North_and_Central_America/CAN_Canada/SK_Saskatchewan/CAN_SK_Assiniboia.AP.714870_TMYx.zip")</f>
        <v>https://climate.onebuilding.org/WMO_Region_4_North_and_Central_America/CAN_Canada/SK_Saskatchewan/CAN_SK_Assiniboia.AP.714870_TMYx.zip</v>
      </c>
    </row>
    <row r="1745" spans="1:10" x14ac:dyDescent="0.25">
      <c r="A1745" t="s">
        <v>6</v>
      </c>
      <c r="B1745" t="s">
        <v>58</v>
      </c>
      <c r="C1745" t="s">
        <v>885</v>
      </c>
      <c r="D1745">
        <v>714890</v>
      </c>
      <c r="E1745" t="s">
        <v>886</v>
      </c>
      <c r="F1745">
        <v>52.359699999999997</v>
      </c>
      <c r="G1745">
        <v>-108.8347</v>
      </c>
      <c r="H1745">
        <v>-6</v>
      </c>
      <c r="I1745">
        <v>659.6</v>
      </c>
      <c r="J1745" t="str">
        <f>HYPERLINK("https://climate.onebuilding.org/WMO_Region_4_North_and_Central_America/CAN_Canada/SK_Saskatchewan/CAN_SK_Scott.714890_TMYx.2004-2018.zip")</f>
        <v>https://climate.onebuilding.org/WMO_Region_4_North_and_Central_America/CAN_Canada/SK_Saskatchewan/CAN_SK_Scott.714890_TMYx.2004-2018.zip</v>
      </c>
    </row>
    <row r="1746" spans="1:10" x14ac:dyDescent="0.25">
      <c r="A1746" t="s">
        <v>6</v>
      </c>
      <c r="B1746" t="s">
        <v>58</v>
      </c>
      <c r="C1746" t="s">
        <v>885</v>
      </c>
      <c r="D1746">
        <v>714890</v>
      </c>
      <c r="E1746" t="s">
        <v>10</v>
      </c>
      <c r="F1746">
        <v>52.359699999999997</v>
      </c>
      <c r="G1746">
        <v>-108.8347</v>
      </c>
      <c r="H1746">
        <v>-6</v>
      </c>
      <c r="I1746">
        <v>659.6</v>
      </c>
      <c r="J1746" t="str">
        <f>HYPERLINK("https://climate.onebuilding.org/WMO_Region_4_North_and_Central_America/CAN_Canada/SK_Saskatchewan/CAN_SK_Scott.714890_TMYx.2007-2021.zip")</f>
        <v>https://climate.onebuilding.org/WMO_Region_4_North_and_Central_America/CAN_Canada/SK_Saskatchewan/CAN_SK_Scott.714890_TMYx.2007-2021.zip</v>
      </c>
    </row>
    <row r="1747" spans="1:10" x14ac:dyDescent="0.25">
      <c r="A1747" t="s">
        <v>6</v>
      </c>
      <c r="B1747" t="s">
        <v>58</v>
      </c>
      <c r="C1747" t="s">
        <v>885</v>
      </c>
      <c r="D1747">
        <v>714890</v>
      </c>
      <c r="E1747" t="s">
        <v>10</v>
      </c>
      <c r="F1747">
        <v>52.359699999999997</v>
      </c>
      <c r="G1747">
        <v>-108.8347</v>
      </c>
      <c r="H1747">
        <v>-6</v>
      </c>
      <c r="I1747">
        <v>659.6</v>
      </c>
      <c r="J1747" t="str">
        <f>HYPERLINK("https://climate.onebuilding.org/WMO_Region_4_North_and_Central_America/CAN_Canada/SK_Saskatchewan/CAN_SK_Scott.714890_TMYx.2009-2023.zip")</f>
        <v>https://climate.onebuilding.org/WMO_Region_4_North_and_Central_America/CAN_Canada/SK_Saskatchewan/CAN_SK_Scott.714890_TMYx.2009-2023.zip</v>
      </c>
    </row>
    <row r="1748" spans="1:10" x14ac:dyDescent="0.25">
      <c r="A1748" t="s">
        <v>6</v>
      </c>
      <c r="B1748" t="s">
        <v>58</v>
      </c>
      <c r="C1748" t="s">
        <v>885</v>
      </c>
      <c r="D1748">
        <v>714890</v>
      </c>
      <c r="E1748" t="s">
        <v>10</v>
      </c>
      <c r="F1748">
        <v>52.359699999999997</v>
      </c>
      <c r="G1748">
        <v>-108.8347</v>
      </c>
      <c r="H1748">
        <v>-6</v>
      </c>
      <c r="I1748">
        <v>659.6</v>
      </c>
      <c r="J1748" t="str">
        <f>HYPERLINK("https://climate.onebuilding.org/WMO_Region_4_North_and_Central_America/CAN_Canada/SK_Saskatchewan/CAN_SK_Scott.714890_TMYx.zip")</f>
        <v>https://climate.onebuilding.org/WMO_Region_4_North_and_Central_America/CAN_Canada/SK_Saskatchewan/CAN_SK_Scott.714890_TMYx.zip</v>
      </c>
    </row>
    <row r="1749" spans="1:10" x14ac:dyDescent="0.25">
      <c r="A1749" t="s">
        <v>6</v>
      </c>
      <c r="B1749" t="s">
        <v>42</v>
      </c>
      <c r="C1749" t="s">
        <v>887</v>
      </c>
      <c r="D1749">
        <v>714900</v>
      </c>
      <c r="E1749" t="s">
        <v>888</v>
      </c>
      <c r="F1749">
        <v>65.082999999999998</v>
      </c>
      <c r="G1749">
        <v>-102.417</v>
      </c>
      <c r="H1749">
        <v>-7</v>
      </c>
      <c r="I1749">
        <v>244</v>
      </c>
      <c r="J1749" t="str">
        <f>HYPERLINK("https://climate.onebuilding.org/WMO_Region_4_North_and_Central_America/CAN_Canada/NU_Nunavut/CAN_NU_Robertson.Lake.714900_TMYx.2004-2018.zip")</f>
        <v>https://climate.onebuilding.org/WMO_Region_4_North_and_Central_America/CAN_Canada/NU_Nunavut/CAN_NU_Robertson.Lake.714900_TMYx.2004-2018.zip</v>
      </c>
    </row>
    <row r="1750" spans="1:10" x14ac:dyDescent="0.25">
      <c r="A1750" t="s">
        <v>6</v>
      </c>
      <c r="B1750" t="s">
        <v>42</v>
      </c>
      <c r="C1750" t="s">
        <v>887</v>
      </c>
      <c r="D1750">
        <v>714900</v>
      </c>
      <c r="E1750" t="s">
        <v>10</v>
      </c>
      <c r="F1750">
        <v>65.099720000000005</v>
      </c>
      <c r="G1750">
        <v>-102.4294</v>
      </c>
      <c r="H1750">
        <v>-7</v>
      </c>
      <c r="I1750">
        <v>244</v>
      </c>
      <c r="J1750" t="str">
        <f>HYPERLINK("https://climate.onebuilding.org/WMO_Region_4_North_and_Central_America/CAN_Canada/NU_Nunavut/CAN_NU_Robertson.Lake.714900_TMYx.2007-2021.zip")</f>
        <v>https://climate.onebuilding.org/WMO_Region_4_North_and_Central_America/CAN_Canada/NU_Nunavut/CAN_NU_Robertson.Lake.714900_TMYx.2007-2021.zip</v>
      </c>
    </row>
    <row r="1751" spans="1:10" x14ac:dyDescent="0.25">
      <c r="A1751" t="s">
        <v>6</v>
      </c>
      <c r="B1751" t="s">
        <v>42</v>
      </c>
      <c r="C1751" t="s">
        <v>887</v>
      </c>
      <c r="D1751">
        <v>714900</v>
      </c>
      <c r="E1751" t="s">
        <v>10</v>
      </c>
      <c r="F1751">
        <v>65.099720000000005</v>
      </c>
      <c r="G1751">
        <v>-102.4294</v>
      </c>
      <c r="H1751">
        <v>-7</v>
      </c>
      <c r="I1751">
        <v>244</v>
      </c>
      <c r="J1751" t="str">
        <f>HYPERLINK("https://climate.onebuilding.org/WMO_Region_4_North_and_Central_America/CAN_Canada/NU_Nunavut/CAN_NU_Robertson.Lake.714900_TMYx.2009-2023.zip")</f>
        <v>https://climate.onebuilding.org/WMO_Region_4_North_and_Central_America/CAN_Canada/NU_Nunavut/CAN_NU_Robertson.Lake.714900_TMYx.2009-2023.zip</v>
      </c>
    </row>
    <row r="1752" spans="1:10" x14ac:dyDescent="0.25">
      <c r="A1752" t="s">
        <v>6</v>
      </c>
      <c r="B1752" t="s">
        <v>42</v>
      </c>
      <c r="C1752" t="s">
        <v>887</v>
      </c>
      <c r="D1752">
        <v>714900</v>
      </c>
      <c r="E1752" t="s">
        <v>10</v>
      </c>
      <c r="F1752">
        <v>65.099720000000005</v>
      </c>
      <c r="G1752">
        <v>-102.4294</v>
      </c>
      <c r="H1752">
        <v>-7</v>
      </c>
      <c r="I1752">
        <v>244</v>
      </c>
      <c r="J1752" t="str">
        <f>HYPERLINK("https://climate.onebuilding.org/WMO_Region_4_North_and_Central_America/CAN_Canada/NU_Nunavut/CAN_NU_Robertson.Lake.714900_TMYx.zip")</f>
        <v>https://climate.onebuilding.org/WMO_Region_4_North_and_Central_America/CAN_Canada/NU_Nunavut/CAN_NU_Robertson.Lake.714900_TMYx.zip</v>
      </c>
    </row>
    <row r="1753" spans="1:10" x14ac:dyDescent="0.25">
      <c r="A1753" t="s">
        <v>6</v>
      </c>
      <c r="B1753" t="s">
        <v>48</v>
      </c>
      <c r="C1753" t="s">
        <v>889</v>
      </c>
      <c r="D1753">
        <v>714910</v>
      </c>
      <c r="E1753" t="s">
        <v>890</v>
      </c>
      <c r="F1753">
        <v>66.242199999999997</v>
      </c>
      <c r="G1753">
        <v>-128.64420000000001</v>
      </c>
      <c r="H1753">
        <v>-7</v>
      </c>
      <c r="I1753">
        <v>81.7</v>
      </c>
      <c r="J1753" t="str">
        <f>HYPERLINK("https://climate.onebuilding.org/WMO_Region_4_North_and_Central_America/CAN_Canada/NT_Northwest_Territories/CAN_NT_Fort.Good.Hope.AP.714910_TMYx.2004-2018.zip")</f>
        <v>https://climate.onebuilding.org/WMO_Region_4_North_and_Central_America/CAN_Canada/NT_Northwest_Territories/CAN_NT_Fort.Good.Hope.AP.714910_TMYx.2004-2018.zip</v>
      </c>
    </row>
    <row r="1754" spans="1:10" x14ac:dyDescent="0.25">
      <c r="A1754" t="s">
        <v>6</v>
      </c>
      <c r="B1754" t="s">
        <v>48</v>
      </c>
      <c r="C1754" t="s">
        <v>889</v>
      </c>
      <c r="D1754">
        <v>714910</v>
      </c>
      <c r="E1754" t="s">
        <v>10</v>
      </c>
      <c r="F1754">
        <v>66.242199999999997</v>
      </c>
      <c r="G1754">
        <v>-128.64420000000001</v>
      </c>
      <c r="H1754">
        <v>-7</v>
      </c>
      <c r="I1754">
        <v>81.7</v>
      </c>
      <c r="J1754" t="str">
        <f>HYPERLINK("https://climate.onebuilding.org/WMO_Region_4_North_and_Central_America/CAN_Canada/NT_Northwest_Territories/CAN_NT_Fort.Good.Hope.AP.714910_TMYx.2007-2021.zip")</f>
        <v>https://climate.onebuilding.org/WMO_Region_4_North_and_Central_America/CAN_Canada/NT_Northwest_Territories/CAN_NT_Fort.Good.Hope.AP.714910_TMYx.2007-2021.zip</v>
      </c>
    </row>
    <row r="1755" spans="1:10" x14ac:dyDescent="0.25">
      <c r="A1755" t="s">
        <v>6</v>
      </c>
      <c r="B1755" t="s">
        <v>48</v>
      </c>
      <c r="C1755" t="s">
        <v>889</v>
      </c>
      <c r="D1755">
        <v>714910</v>
      </c>
      <c r="E1755" t="s">
        <v>10</v>
      </c>
      <c r="F1755">
        <v>66.242199999999997</v>
      </c>
      <c r="G1755">
        <v>-128.64420000000001</v>
      </c>
      <c r="H1755">
        <v>-7</v>
      </c>
      <c r="I1755">
        <v>81.7</v>
      </c>
      <c r="J1755" t="str">
        <f>HYPERLINK("https://climate.onebuilding.org/WMO_Region_4_North_and_Central_America/CAN_Canada/NT_Northwest_Territories/CAN_NT_Fort.Good.Hope.AP.714910_TMYx.2009-2023.zip")</f>
        <v>https://climate.onebuilding.org/WMO_Region_4_North_and_Central_America/CAN_Canada/NT_Northwest_Territories/CAN_NT_Fort.Good.Hope.AP.714910_TMYx.2009-2023.zip</v>
      </c>
    </row>
    <row r="1756" spans="1:10" x14ac:dyDescent="0.25">
      <c r="A1756" t="s">
        <v>6</v>
      </c>
      <c r="B1756" t="s">
        <v>48</v>
      </c>
      <c r="C1756" t="s">
        <v>889</v>
      </c>
      <c r="D1756">
        <v>714910</v>
      </c>
      <c r="E1756" t="s">
        <v>10</v>
      </c>
      <c r="F1756">
        <v>66.242199999999997</v>
      </c>
      <c r="G1756">
        <v>-128.64420000000001</v>
      </c>
      <c r="H1756">
        <v>-7</v>
      </c>
      <c r="I1756">
        <v>81.7</v>
      </c>
      <c r="J1756" t="str">
        <f>HYPERLINK("https://climate.onebuilding.org/WMO_Region_4_North_and_Central_America/CAN_Canada/NT_Northwest_Territories/CAN_NT_Fort.Good.Hope.AP.714910_TMYx.zip")</f>
        <v>https://climate.onebuilding.org/WMO_Region_4_North_and_Central_America/CAN_Canada/NT_Northwest_Territories/CAN_NT_Fort.Good.Hope.AP.714910_TMYx.zip</v>
      </c>
    </row>
    <row r="1757" spans="1:10" x14ac:dyDescent="0.25">
      <c r="A1757" t="s">
        <v>6</v>
      </c>
      <c r="B1757" t="s">
        <v>48</v>
      </c>
      <c r="C1757" t="s">
        <v>891</v>
      </c>
      <c r="D1757">
        <v>714920</v>
      </c>
      <c r="E1757" t="s">
        <v>892</v>
      </c>
      <c r="F1757">
        <v>69.183000000000007</v>
      </c>
      <c r="G1757">
        <v>-122.35</v>
      </c>
      <c r="H1757">
        <v>-7</v>
      </c>
      <c r="I1757">
        <v>522</v>
      </c>
      <c r="J1757" t="str">
        <f>HYPERLINK("https://climate.onebuilding.org/WMO_Region_4_North_and_Central_America/CAN_Canada/NT_Northwest_Territories/CAN_NT_Tuktut.Nogait.714920_TMYx.2004-2018.zip")</f>
        <v>https://climate.onebuilding.org/WMO_Region_4_North_and_Central_America/CAN_Canada/NT_Northwest_Territories/CAN_NT_Tuktut.Nogait.714920_TMYx.2004-2018.zip</v>
      </c>
    </row>
    <row r="1758" spans="1:10" x14ac:dyDescent="0.25">
      <c r="A1758" t="s">
        <v>6</v>
      </c>
      <c r="B1758" t="s">
        <v>48</v>
      </c>
      <c r="C1758" t="s">
        <v>891</v>
      </c>
      <c r="D1758">
        <v>714920</v>
      </c>
      <c r="E1758" t="s">
        <v>10</v>
      </c>
      <c r="F1758">
        <v>69.198999999999998</v>
      </c>
      <c r="G1758">
        <v>-122.35899999999999</v>
      </c>
      <c r="H1758">
        <v>-7</v>
      </c>
      <c r="I1758">
        <v>522</v>
      </c>
      <c r="J1758" t="str">
        <f>HYPERLINK("https://climate.onebuilding.org/WMO_Region_4_North_and_Central_America/CAN_Canada/NT_Northwest_Territories/CAN_NT_Tuktut.Nogait.714920_TMYx.2007-2021.zip")</f>
        <v>https://climate.onebuilding.org/WMO_Region_4_North_and_Central_America/CAN_Canada/NT_Northwest_Territories/CAN_NT_Tuktut.Nogait.714920_TMYx.2007-2021.zip</v>
      </c>
    </row>
    <row r="1759" spans="1:10" x14ac:dyDescent="0.25">
      <c r="A1759" t="s">
        <v>6</v>
      </c>
      <c r="B1759" t="s">
        <v>48</v>
      </c>
      <c r="C1759" t="s">
        <v>891</v>
      </c>
      <c r="D1759">
        <v>714920</v>
      </c>
      <c r="E1759" t="s">
        <v>10</v>
      </c>
      <c r="F1759">
        <v>69.198999999999998</v>
      </c>
      <c r="G1759">
        <v>-122.35899999999999</v>
      </c>
      <c r="H1759">
        <v>-7</v>
      </c>
      <c r="I1759">
        <v>522</v>
      </c>
      <c r="J1759" t="str">
        <f>HYPERLINK("https://climate.onebuilding.org/WMO_Region_4_North_and_Central_America/CAN_Canada/NT_Northwest_Territories/CAN_NT_Tuktut.Nogait.714920_TMYx.2009-2023.zip")</f>
        <v>https://climate.onebuilding.org/WMO_Region_4_North_and_Central_America/CAN_Canada/NT_Northwest_Territories/CAN_NT_Tuktut.Nogait.714920_TMYx.2009-2023.zip</v>
      </c>
    </row>
    <row r="1760" spans="1:10" x14ac:dyDescent="0.25">
      <c r="A1760" t="s">
        <v>6</v>
      </c>
      <c r="B1760" t="s">
        <v>48</v>
      </c>
      <c r="C1760" t="s">
        <v>891</v>
      </c>
      <c r="D1760">
        <v>714920</v>
      </c>
      <c r="E1760" t="s">
        <v>10</v>
      </c>
      <c r="F1760">
        <v>69.198999999999998</v>
      </c>
      <c r="G1760">
        <v>-122.35899999999999</v>
      </c>
      <c r="H1760">
        <v>-7</v>
      </c>
      <c r="I1760">
        <v>522</v>
      </c>
      <c r="J1760" t="str">
        <f>HYPERLINK("https://climate.onebuilding.org/WMO_Region_4_North_and_Central_America/CAN_Canada/NT_Northwest_Territories/CAN_NT_Tuktut.Nogait.714920_TMYx.zip")</f>
        <v>https://climate.onebuilding.org/WMO_Region_4_North_and_Central_America/CAN_Canada/NT_Northwest_Territories/CAN_NT_Tuktut.Nogait.714920_TMYx.zip</v>
      </c>
    </row>
    <row r="1761" spans="1:10" x14ac:dyDescent="0.25">
      <c r="A1761" t="s">
        <v>6</v>
      </c>
      <c r="B1761" t="s">
        <v>68</v>
      </c>
      <c r="C1761" t="s">
        <v>893</v>
      </c>
      <c r="D1761">
        <v>714930</v>
      </c>
      <c r="E1761" t="s">
        <v>894</v>
      </c>
      <c r="F1761">
        <v>45.4133</v>
      </c>
      <c r="G1761">
        <v>-64.346999999999994</v>
      </c>
      <c r="H1761">
        <v>-4</v>
      </c>
      <c r="I1761">
        <v>30.9</v>
      </c>
      <c r="J1761" t="str">
        <f>HYPERLINK("https://climate.onebuilding.org/WMO_Region_4_North_and_Central_America/CAN_Canada/NS_Nova_Scotia/CAN_NS_Parrsboro.714930_TMYx.2004-2018.zip")</f>
        <v>https://climate.onebuilding.org/WMO_Region_4_North_and_Central_America/CAN_Canada/NS_Nova_Scotia/CAN_NS_Parrsboro.714930_TMYx.2004-2018.zip</v>
      </c>
    </row>
    <row r="1762" spans="1:10" x14ac:dyDescent="0.25">
      <c r="A1762" t="s">
        <v>6</v>
      </c>
      <c r="B1762" t="s">
        <v>68</v>
      </c>
      <c r="C1762" t="s">
        <v>893</v>
      </c>
      <c r="D1762">
        <v>714930</v>
      </c>
      <c r="E1762" t="s">
        <v>10</v>
      </c>
      <c r="F1762">
        <v>45.4133</v>
      </c>
      <c r="G1762">
        <v>-64.346199999999996</v>
      </c>
      <c r="H1762">
        <v>-4</v>
      </c>
      <c r="I1762">
        <v>30.9</v>
      </c>
      <c r="J1762" t="str">
        <f>HYPERLINK("https://climate.onebuilding.org/WMO_Region_4_North_and_Central_America/CAN_Canada/NS_Nova_Scotia/CAN_NS_Parrsboro.714930_TMYx.2007-2021.zip")</f>
        <v>https://climate.onebuilding.org/WMO_Region_4_North_and_Central_America/CAN_Canada/NS_Nova_Scotia/CAN_NS_Parrsboro.714930_TMYx.2007-2021.zip</v>
      </c>
    </row>
    <row r="1763" spans="1:10" x14ac:dyDescent="0.25">
      <c r="A1763" t="s">
        <v>6</v>
      </c>
      <c r="B1763" t="s">
        <v>68</v>
      </c>
      <c r="C1763" t="s">
        <v>893</v>
      </c>
      <c r="D1763">
        <v>714930</v>
      </c>
      <c r="E1763" t="s">
        <v>10</v>
      </c>
      <c r="F1763">
        <v>45.4133</v>
      </c>
      <c r="G1763">
        <v>-64.346199999999996</v>
      </c>
      <c r="H1763">
        <v>-4</v>
      </c>
      <c r="I1763">
        <v>30.9</v>
      </c>
      <c r="J1763" t="str">
        <f>HYPERLINK("https://climate.onebuilding.org/WMO_Region_4_North_and_Central_America/CAN_Canada/NS_Nova_Scotia/CAN_NS_Parrsboro.714930_TMYx.2009-2023.zip")</f>
        <v>https://climate.onebuilding.org/WMO_Region_4_North_and_Central_America/CAN_Canada/NS_Nova_Scotia/CAN_NS_Parrsboro.714930_TMYx.2009-2023.zip</v>
      </c>
    </row>
    <row r="1764" spans="1:10" x14ac:dyDescent="0.25">
      <c r="A1764" t="s">
        <v>6</v>
      </c>
      <c r="B1764" t="s">
        <v>68</v>
      </c>
      <c r="C1764" t="s">
        <v>893</v>
      </c>
      <c r="D1764">
        <v>714930</v>
      </c>
      <c r="E1764" t="s">
        <v>10</v>
      </c>
      <c r="F1764">
        <v>45.4133</v>
      </c>
      <c r="G1764">
        <v>-64.346199999999996</v>
      </c>
      <c r="H1764">
        <v>-4</v>
      </c>
      <c r="I1764">
        <v>30.9</v>
      </c>
      <c r="J1764" t="str">
        <f>HYPERLINK("https://climate.onebuilding.org/WMO_Region_4_North_and_Central_America/CAN_Canada/NS_Nova_Scotia/CAN_NS_Parrsboro.714930_TMYx.zip")</f>
        <v>https://climate.onebuilding.org/WMO_Region_4_North_and_Central_America/CAN_Canada/NS_Nova_Scotia/CAN_NS_Parrsboro.714930_TMYx.zip</v>
      </c>
    </row>
    <row r="1765" spans="1:10" x14ac:dyDescent="0.25">
      <c r="A1765" t="s">
        <v>6</v>
      </c>
      <c r="B1765" t="s">
        <v>14</v>
      </c>
      <c r="C1765" t="s">
        <v>895</v>
      </c>
      <c r="D1765">
        <v>714940</v>
      </c>
      <c r="E1765" t="s">
        <v>896</v>
      </c>
      <c r="F1765">
        <v>46.049199999999999</v>
      </c>
      <c r="G1765">
        <v>-71.266099999999994</v>
      </c>
      <c r="H1765">
        <v>-5</v>
      </c>
      <c r="I1765">
        <v>430</v>
      </c>
      <c r="J1765" t="str">
        <f>HYPERLINK("https://climate.onebuilding.org/WMO_Region_4_North_and_Central_America/CAN_Canada/QC_Quebec/CAN_QC_Thetford.Mines.AP.RCS.714940_TMYx.2004-2018.zip")</f>
        <v>https://climate.onebuilding.org/WMO_Region_4_North_and_Central_America/CAN_Canada/QC_Quebec/CAN_QC_Thetford.Mines.AP.RCS.714940_TMYx.2004-2018.zip</v>
      </c>
    </row>
    <row r="1766" spans="1:10" x14ac:dyDescent="0.25">
      <c r="A1766" t="s">
        <v>6</v>
      </c>
      <c r="B1766" t="s">
        <v>14</v>
      </c>
      <c r="C1766" t="s">
        <v>895</v>
      </c>
      <c r="D1766">
        <v>714940</v>
      </c>
      <c r="E1766" t="s">
        <v>10</v>
      </c>
      <c r="F1766">
        <v>46.049199999999999</v>
      </c>
      <c r="G1766">
        <v>-71.266099999999994</v>
      </c>
      <c r="H1766">
        <v>-5</v>
      </c>
      <c r="I1766">
        <v>430</v>
      </c>
      <c r="J1766" t="str">
        <f>HYPERLINK("https://climate.onebuilding.org/WMO_Region_4_North_and_Central_America/CAN_Canada/QC_Quebec/CAN_QC_Thetford.Mines.AP.RCS.714940_TMYx.2007-2021.zip")</f>
        <v>https://climate.onebuilding.org/WMO_Region_4_North_and_Central_America/CAN_Canada/QC_Quebec/CAN_QC_Thetford.Mines.AP.RCS.714940_TMYx.2007-2021.zip</v>
      </c>
    </row>
    <row r="1767" spans="1:10" x14ac:dyDescent="0.25">
      <c r="A1767" t="s">
        <v>6</v>
      </c>
      <c r="B1767" t="s">
        <v>14</v>
      </c>
      <c r="C1767" t="s">
        <v>895</v>
      </c>
      <c r="D1767">
        <v>714940</v>
      </c>
      <c r="E1767" t="s">
        <v>10</v>
      </c>
      <c r="F1767">
        <v>46.049199999999999</v>
      </c>
      <c r="G1767">
        <v>-71.266099999999994</v>
      </c>
      <c r="H1767">
        <v>-5</v>
      </c>
      <c r="I1767">
        <v>430</v>
      </c>
      <c r="J1767" t="str">
        <f>HYPERLINK("https://climate.onebuilding.org/WMO_Region_4_North_and_Central_America/CAN_Canada/QC_Quebec/CAN_QC_Thetford.Mines.AP.RCS.714940_TMYx.2009-2023.zip")</f>
        <v>https://climate.onebuilding.org/WMO_Region_4_North_and_Central_America/CAN_Canada/QC_Quebec/CAN_QC_Thetford.Mines.AP.RCS.714940_TMYx.2009-2023.zip</v>
      </c>
    </row>
    <row r="1768" spans="1:10" x14ac:dyDescent="0.25">
      <c r="A1768" t="s">
        <v>6</v>
      </c>
      <c r="B1768" t="s">
        <v>14</v>
      </c>
      <c r="C1768" t="s">
        <v>895</v>
      </c>
      <c r="D1768">
        <v>714940</v>
      </c>
      <c r="E1768" t="s">
        <v>10</v>
      </c>
      <c r="F1768">
        <v>46.049199999999999</v>
      </c>
      <c r="G1768">
        <v>-71.266099999999994</v>
      </c>
      <c r="H1768">
        <v>-5</v>
      </c>
      <c r="I1768">
        <v>430</v>
      </c>
      <c r="J1768" t="str">
        <f>HYPERLINK("https://climate.onebuilding.org/WMO_Region_4_North_and_Central_America/CAN_Canada/QC_Quebec/CAN_QC_Thetford.Mines.AP.RCS.714940_TMYx.zip")</f>
        <v>https://climate.onebuilding.org/WMO_Region_4_North_and_Central_America/CAN_Canada/QC_Quebec/CAN_QC_Thetford.Mines.AP.RCS.714940_TMYx.zip</v>
      </c>
    </row>
    <row r="1769" spans="1:10" x14ac:dyDescent="0.25">
      <c r="A1769" t="s">
        <v>6</v>
      </c>
      <c r="B1769" t="s">
        <v>17</v>
      </c>
      <c r="C1769" t="s">
        <v>897</v>
      </c>
      <c r="D1769">
        <v>714950</v>
      </c>
      <c r="E1769" t="s">
        <v>898</v>
      </c>
      <c r="F1769">
        <v>51.369399999999999</v>
      </c>
      <c r="G1769">
        <v>-114.0992</v>
      </c>
      <c r="H1769">
        <v>-7</v>
      </c>
      <c r="I1769">
        <v>1145</v>
      </c>
      <c r="J1769" t="str">
        <f>HYPERLINK("https://climate.onebuilding.org/WMO_Region_4_North_and_Central_America/CAN_Canada/AB_Alberta/CAN_AB_Neir.AgDM.714950_TMYx.2004-2018.zip")</f>
        <v>https://climate.onebuilding.org/WMO_Region_4_North_and_Central_America/CAN_Canada/AB_Alberta/CAN_AB_Neir.AgDM.714950_TMYx.2004-2018.zip</v>
      </c>
    </row>
    <row r="1770" spans="1:10" x14ac:dyDescent="0.25">
      <c r="A1770" t="s">
        <v>6</v>
      </c>
      <c r="B1770" t="s">
        <v>17</v>
      </c>
      <c r="C1770" t="s">
        <v>897</v>
      </c>
      <c r="D1770">
        <v>714950</v>
      </c>
      <c r="E1770" t="s">
        <v>10</v>
      </c>
      <c r="F1770">
        <v>51.369399999999999</v>
      </c>
      <c r="G1770">
        <v>-114.0992</v>
      </c>
      <c r="H1770">
        <v>-7</v>
      </c>
      <c r="I1770">
        <v>1145</v>
      </c>
      <c r="J1770" t="str">
        <f>HYPERLINK("https://climate.onebuilding.org/WMO_Region_4_North_and_Central_America/CAN_Canada/AB_Alberta/CAN_AB_Neir.AgDM.714950_TMYx.2007-2021.zip")</f>
        <v>https://climate.onebuilding.org/WMO_Region_4_North_and_Central_America/CAN_Canada/AB_Alberta/CAN_AB_Neir.AgDM.714950_TMYx.2007-2021.zip</v>
      </c>
    </row>
    <row r="1771" spans="1:10" x14ac:dyDescent="0.25">
      <c r="A1771" t="s">
        <v>6</v>
      </c>
      <c r="B1771" t="s">
        <v>17</v>
      </c>
      <c r="C1771" t="s">
        <v>897</v>
      </c>
      <c r="D1771">
        <v>714950</v>
      </c>
      <c r="E1771" t="s">
        <v>10</v>
      </c>
      <c r="F1771">
        <v>51.369399999999999</v>
      </c>
      <c r="G1771">
        <v>-114.0992</v>
      </c>
      <c r="H1771">
        <v>-7</v>
      </c>
      <c r="I1771">
        <v>1145</v>
      </c>
      <c r="J1771" t="str">
        <f>HYPERLINK("https://climate.onebuilding.org/WMO_Region_4_North_and_Central_America/CAN_Canada/AB_Alberta/CAN_AB_Neir.AgDM.714950_TMYx.2009-2023.zip")</f>
        <v>https://climate.onebuilding.org/WMO_Region_4_North_and_Central_America/CAN_Canada/AB_Alberta/CAN_AB_Neir.AgDM.714950_TMYx.2009-2023.zip</v>
      </c>
    </row>
    <row r="1772" spans="1:10" x14ac:dyDescent="0.25">
      <c r="A1772" t="s">
        <v>6</v>
      </c>
      <c r="B1772" t="s">
        <v>17</v>
      </c>
      <c r="C1772" t="s">
        <v>897</v>
      </c>
      <c r="D1772">
        <v>714950</v>
      </c>
      <c r="E1772" t="s">
        <v>10</v>
      </c>
      <c r="F1772">
        <v>51.369399999999999</v>
      </c>
      <c r="G1772">
        <v>-114.0992</v>
      </c>
      <c r="H1772">
        <v>-7</v>
      </c>
      <c r="I1772">
        <v>1145</v>
      </c>
      <c r="J1772" t="str">
        <f>HYPERLINK("https://climate.onebuilding.org/WMO_Region_4_North_and_Central_America/CAN_Canada/AB_Alberta/CAN_AB_Neir.AgDM.714950_TMYx.zip")</f>
        <v>https://climate.onebuilding.org/WMO_Region_4_North_and_Central_America/CAN_Canada/AB_Alberta/CAN_AB_Neir.AgDM.714950_TMYx.zip</v>
      </c>
    </row>
    <row r="1773" spans="1:10" x14ac:dyDescent="0.25">
      <c r="A1773" t="s">
        <v>6</v>
      </c>
      <c r="B1773" t="s">
        <v>58</v>
      </c>
      <c r="C1773" t="s">
        <v>899</v>
      </c>
      <c r="D1773">
        <v>714960</v>
      </c>
      <c r="E1773" t="s">
        <v>10</v>
      </c>
      <c r="F1773">
        <v>52.1736</v>
      </c>
      <c r="G1773">
        <v>-106.7189</v>
      </c>
      <c r="H1773">
        <v>-6</v>
      </c>
      <c r="I1773">
        <v>505.8</v>
      </c>
      <c r="J1773" t="str">
        <f>HYPERLINK("https://climate.onebuilding.org/WMO_Region_4_North_and_Central_America/CAN_Canada/SK_Saskatchewan/CAN_SK_Saskatoon.RCS.714960_TMYx.2007-2021.zip")</f>
        <v>https://climate.onebuilding.org/WMO_Region_4_North_and_Central_America/CAN_Canada/SK_Saskatchewan/CAN_SK_Saskatoon.RCS.714960_TMYx.2007-2021.zip</v>
      </c>
    </row>
    <row r="1774" spans="1:10" x14ac:dyDescent="0.25">
      <c r="A1774" t="s">
        <v>6</v>
      </c>
      <c r="B1774" t="s">
        <v>58</v>
      </c>
      <c r="C1774" t="s">
        <v>899</v>
      </c>
      <c r="D1774">
        <v>714960</v>
      </c>
      <c r="E1774" t="s">
        <v>10</v>
      </c>
      <c r="F1774">
        <v>52.1736</v>
      </c>
      <c r="G1774">
        <v>-106.7189</v>
      </c>
      <c r="H1774">
        <v>-6</v>
      </c>
      <c r="I1774">
        <v>505.8</v>
      </c>
      <c r="J1774" t="str">
        <f>HYPERLINK("https://climate.onebuilding.org/WMO_Region_4_North_and_Central_America/CAN_Canada/SK_Saskatchewan/CAN_SK_Saskatoon.RCS.714960_TMYx.2009-2023.zip")</f>
        <v>https://climate.onebuilding.org/WMO_Region_4_North_and_Central_America/CAN_Canada/SK_Saskatchewan/CAN_SK_Saskatoon.RCS.714960_TMYx.2009-2023.zip</v>
      </c>
    </row>
    <row r="1775" spans="1:10" x14ac:dyDescent="0.25">
      <c r="A1775" t="s">
        <v>6</v>
      </c>
      <c r="B1775" t="s">
        <v>58</v>
      </c>
      <c r="C1775" t="s">
        <v>899</v>
      </c>
      <c r="D1775">
        <v>714960</v>
      </c>
      <c r="E1775" t="s">
        <v>10</v>
      </c>
      <c r="F1775">
        <v>52.1736</v>
      </c>
      <c r="G1775">
        <v>-106.7189</v>
      </c>
      <c r="H1775">
        <v>-6</v>
      </c>
      <c r="I1775">
        <v>505.8</v>
      </c>
      <c r="J1775" t="str">
        <f>HYPERLINK("https://climate.onebuilding.org/WMO_Region_4_North_and_Central_America/CAN_Canada/SK_Saskatchewan/CAN_SK_Saskatoon.RCS.714960_TMYx.zip")</f>
        <v>https://climate.onebuilding.org/WMO_Region_4_North_and_Central_America/CAN_Canada/SK_Saskatchewan/CAN_SK_Saskatoon.RCS.714960_TMYx.zip</v>
      </c>
    </row>
    <row r="1776" spans="1:10" x14ac:dyDescent="0.25">
      <c r="A1776" t="s">
        <v>6</v>
      </c>
      <c r="B1776" t="s">
        <v>48</v>
      </c>
      <c r="C1776" t="s">
        <v>900</v>
      </c>
      <c r="D1776">
        <v>714970</v>
      </c>
      <c r="E1776" t="s">
        <v>901</v>
      </c>
      <c r="F1776">
        <v>60.2333</v>
      </c>
      <c r="G1776">
        <v>-123.4667</v>
      </c>
      <c r="H1776">
        <v>-7</v>
      </c>
      <c r="I1776">
        <v>213.4</v>
      </c>
      <c r="J1776" t="str">
        <f>HYPERLINK("https://climate.onebuilding.org/WMO_Region_4_North_and_Central_America/CAN_Canada/NT_Northwest_Territories/CAN_NT_Fort.Liard.AP.714970_TMYx.2004-2018.zip")</f>
        <v>https://climate.onebuilding.org/WMO_Region_4_North_and_Central_America/CAN_Canada/NT_Northwest_Territories/CAN_NT_Fort.Liard.AP.714970_TMYx.2004-2018.zip</v>
      </c>
    </row>
    <row r="1777" spans="1:10" x14ac:dyDescent="0.25">
      <c r="A1777" t="s">
        <v>6</v>
      </c>
      <c r="B1777" t="s">
        <v>48</v>
      </c>
      <c r="C1777" t="s">
        <v>900</v>
      </c>
      <c r="D1777">
        <v>714970</v>
      </c>
      <c r="E1777" t="s">
        <v>10</v>
      </c>
      <c r="F1777">
        <v>60.23583</v>
      </c>
      <c r="G1777">
        <v>-123.47280000000001</v>
      </c>
      <c r="H1777">
        <v>-7</v>
      </c>
      <c r="I1777">
        <v>213.4</v>
      </c>
      <c r="J1777" t="str">
        <f>HYPERLINK("https://climate.onebuilding.org/WMO_Region_4_North_and_Central_America/CAN_Canada/NT_Northwest_Territories/CAN_NT_Fort.Liard.AP.714970_TMYx.2007-2021.zip")</f>
        <v>https://climate.onebuilding.org/WMO_Region_4_North_and_Central_America/CAN_Canada/NT_Northwest_Territories/CAN_NT_Fort.Liard.AP.714970_TMYx.2007-2021.zip</v>
      </c>
    </row>
    <row r="1778" spans="1:10" x14ac:dyDescent="0.25">
      <c r="A1778" t="s">
        <v>6</v>
      </c>
      <c r="B1778" t="s">
        <v>48</v>
      </c>
      <c r="C1778" t="s">
        <v>900</v>
      </c>
      <c r="D1778">
        <v>714970</v>
      </c>
      <c r="E1778" t="s">
        <v>10</v>
      </c>
      <c r="F1778">
        <v>60.23583</v>
      </c>
      <c r="G1778">
        <v>-123.47280000000001</v>
      </c>
      <c r="H1778">
        <v>-7</v>
      </c>
      <c r="I1778">
        <v>213.4</v>
      </c>
      <c r="J1778" t="str">
        <f>HYPERLINK("https://climate.onebuilding.org/WMO_Region_4_North_and_Central_America/CAN_Canada/NT_Northwest_Territories/CAN_NT_Fort.Liard.AP.714970_TMYx.2009-2023.zip")</f>
        <v>https://climate.onebuilding.org/WMO_Region_4_North_and_Central_America/CAN_Canada/NT_Northwest_Territories/CAN_NT_Fort.Liard.AP.714970_TMYx.2009-2023.zip</v>
      </c>
    </row>
    <row r="1779" spans="1:10" x14ac:dyDescent="0.25">
      <c r="A1779" t="s">
        <v>6</v>
      </c>
      <c r="B1779" t="s">
        <v>48</v>
      </c>
      <c r="C1779" t="s">
        <v>900</v>
      </c>
      <c r="D1779">
        <v>714970</v>
      </c>
      <c r="E1779" t="s">
        <v>10</v>
      </c>
      <c r="F1779">
        <v>60.23583</v>
      </c>
      <c r="G1779">
        <v>-123.47280000000001</v>
      </c>
      <c r="H1779">
        <v>-7</v>
      </c>
      <c r="I1779">
        <v>213.4</v>
      </c>
      <c r="J1779" t="str">
        <f>HYPERLINK("https://climate.onebuilding.org/WMO_Region_4_North_and_Central_America/CAN_Canada/NT_Northwest_Territories/CAN_NT_Fort.Liard.AP.714970_TMYx.zip")</f>
        <v>https://climate.onebuilding.org/WMO_Region_4_North_and_Central_America/CAN_Canada/NT_Northwest_Territories/CAN_NT_Fort.Liard.AP.714970_TMYx.zip</v>
      </c>
    </row>
    <row r="1780" spans="1:10" x14ac:dyDescent="0.25">
      <c r="A1780" t="s">
        <v>6</v>
      </c>
      <c r="B1780" t="s">
        <v>17</v>
      </c>
      <c r="C1780" t="s">
        <v>902</v>
      </c>
      <c r="D1780">
        <v>714980</v>
      </c>
      <c r="E1780" t="s">
        <v>903</v>
      </c>
      <c r="F1780">
        <v>50.934399999999997</v>
      </c>
      <c r="G1780">
        <v>-112.9406</v>
      </c>
      <c r="H1780">
        <v>-7</v>
      </c>
      <c r="I1780">
        <v>907</v>
      </c>
      <c r="J1780" t="str">
        <f>HYPERLINK("https://climate.onebuilding.org/WMO_Region_4_North_and_Central_America/CAN_Canada/AB_Alberta/CAN_AB_Gleichen.AgCM.714980_TMYx.2004-2018.zip")</f>
        <v>https://climate.onebuilding.org/WMO_Region_4_North_and_Central_America/CAN_Canada/AB_Alberta/CAN_AB_Gleichen.AgCM.714980_TMYx.2004-2018.zip</v>
      </c>
    </row>
    <row r="1781" spans="1:10" x14ac:dyDescent="0.25">
      <c r="A1781" t="s">
        <v>6</v>
      </c>
      <c r="B1781" t="s">
        <v>17</v>
      </c>
      <c r="C1781" t="s">
        <v>902</v>
      </c>
      <c r="D1781">
        <v>714980</v>
      </c>
      <c r="E1781" t="s">
        <v>10</v>
      </c>
      <c r="F1781">
        <v>50.934399999999997</v>
      </c>
      <c r="G1781">
        <v>-112.9406</v>
      </c>
      <c r="H1781">
        <v>-7</v>
      </c>
      <c r="I1781">
        <v>907</v>
      </c>
      <c r="J1781" t="str">
        <f>HYPERLINK("https://climate.onebuilding.org/WMO_Region_4_North_and_Central_America/CAN_Canada/AB_Alberta/CAN_AB_Gleichen.AgCM.714980_TMYx.2007-2021.zip")</f>
        <v>https://climate.onebuilding.org/WMO_Region_4_North_and_Central_America/CAN_Canada/AB_Alberta/CAN_AB_Gleichen.AgCM.714980_TMYx.2007-2021.zip</v>
      </c>
    </row>
    <row r="1782" spans="1:10" x14ac:dyDescent="0.25">
      <c r="A1782" t="s">
        <v>6</v>
      </c>
      <c r="B1782" t="s">
        <v>17</v>
      </c>
      <c r="C1782" t="s">
        <v>902</v>
      </c>
      <c r="D1782">
        <v>714980</v>
      </c>
      <c r="E1782" t="s">
        <v>10</v>
      </c>
      <c r="F1782">
        <v>50.934399999999997</v>
      </c>
      <c r="G1782">
        <v>-112.9406</v>
      </c>
      <c r="H1782">
        <v>-7</v>
      </c>
      <c r="I1782">
        <v>907</v>
      </c>
      <c r="J1782" t="str">
        <f>HYPERLINK("https://climate.onebuilding.org/WMO_Region_4_North_and_Central_America/CAN_Canada/AB_Alberta/CAN_AB_Gleichen.AgCM.714980_TMYx.2009-2023.zip")</f>
        <v>https://climate.onebuilding.org/WMO_Region_4_North_and_Central_America/CAN_Canada/AB_Alberta/CAN_AB_Gleichen.AgCM.714980_TMYx.2009-2023.zip</v>
      </c>
    </row>
    <row r="1783" spans="1:10" x14ac:dyDescent="0.25">
      <c r="A1783" t="s">
        <v>6</v>
      </c>
      <c r="B1783" t="s">
        <v>17</v>
      </c>
      <c r="C1783" t="s">
        <v>902</v>
      </c>
      <c r="D1783">
        <v>714980</v>
      </c>
      <c r="E1783" t="s">
        <v>10</v>
      </c>
      <c r="F1783">
        <v>50.934399999999997</v>
      </c>
      <c r="G1783">
        <v>-112.9406</v>
      </c>
      <c r="H1783">
        <v>-7</v>
      </c>
      <c r="I1783">
        <v>907</v>
      </c>
      <c r="J1783" t="str">
        <f>HYPERLINK("https://climate.onebuilding.org/WMO_Region_4_North_and_Central_America/CAN_Canada/AB_Alberta/CAN_AB_Gleichen.AgCM.714980_TMYx.zip")</f>
        <v>https://climate.onebuilding.org/WMO_Region_4_North_and_Central_America/CAN_Canada/AB_Alberta/CAN_AB_Gleichen.AgCM.714980_TMYx.zip</v>
      </c>
    </row>
    <row r="1784" spans="1:10" x14ac:dyDescent="0.25">
      <c r="A1784" t="s">
        <v>6</v>
      </c>
      <c r="B1784" t="s">
        <v>42</v>
      </c>
      <c r="C1784" t="s">
        <v>904</v>
      </c>
      <c r="D1784">
        <v>714999</v>
      </c>
      <c r="E1784" t="s">
        <v>244</v>
      </c>
      <c r="F1784">
        <v>63.229030000000002</v>
      </c>
      <c r="G1784">
        <v>-101.76130000000001</v>
      </c>
      <c r="H1784">
        <v>-6</v>
      </c>
      <c r="I1784">
        <v>237</v>
      </c>
      <c r="J1784" t="str">
        <f>HYPERLINK("https://climate.onebuilding.org/WMO_Region_4_North_and_Central_America/CAN_Canada/NU_Nunavut/CAN_NU_Dubawnt.Lake.714999_TMYx.2007-2021.zip")</f>
        <v>https://climate.onebuilding.org/WMO_Region_4_North_and_Central_America/CAN_Canada/NU_Nunavut/CAN_NU_Dubawnt.Lake.714999_TMYx.2007-2021.zip</v>
      </c>
    </row>
    <row r="1785" spans="1:10" x14ac:dyDescent="0.25">
      <c r="A1785" t="s">
        <v>6</v>
      </c>
      <c r="B1785" t="s">
        <v>42</v>
      </c>
      <c r="C1785" t="s">
        <v>904</v>
      </c>
      <c r="D1785">
        <v>714999</v>
      </c>
      <c r="E1785" t="s">
        <v>244</v>
      </c>
      <c r="F1785">
        <v>63.229030000000002</v>
      </c>
      <c r="G1785">
        <v>-101.76130000000001</v>
      </c>
      <c r="H1785">
        <v>-6</v>
      </c>
      <c r="I1785">
        <v>237</v>
      </c>
      <c r="J1785" t="str">
        <f>HYPERLINK("https://climate.onebuilding.org/WMO_Region_4_North_and_Central_America/CAN_Canada/NU_Nunavut/CAN_NU_Dubawnt.Lake.714999_TMYx.2009-2023.zip")</f>
        <v>https://climate.onebuilding.org/WMO_Region_4_North_and_Central_America/CAN_Canada/NU_Nunavut/CAN_NU_Dubawnt.Lake.714999_TMYx.2009-2023.zip</v>
      </c>
    </row>
    <row r="1786" spans="1:10" x14ac:dyDescent="0.25">
      <c r="A1786" t="s">
        <v>6</v>
      </c>
      <c r="B1786" t="s">
        <v>42</v>
      </c>
      <c r="C1786" t="s">
        <v>904</v>
      </c>
      <c r="D1786">
        <v>714999</v>
      </c>
      <c r="E1786" t="s">
        <v>244</v>
      </c>
      <c r="F1786">
        <v>63.229030000000002</v>
      </c>
      <c r="G1786">
        <v>-101.76130000000001</v>
      </c>
      <c r="H1786">
        <v>-6</v>
      </c>
      <c r="I1786">
        <v>237</v>
      </c>
      <c r="J1786" t="str">
        <f>HYPERLINK("https://climate.onebuilding.org/WMO_Region_4_North_and_Central_America/CAN_Canada/NU_Nunavut/CAN_NU_Dubawnt.Lake.714999_TMYx.zip")</f>
        <v>https://climate.onebuilding.org/WMO_Region_4_North_and_Central_America/CAN_Canada/NU_Nunavut/CAN_NU_Dubawnt.Lake.714999_TMYx.zip</v>
      </c>
    </row>
    <row r="1787" spans="1:10" x14ac:dyDescent="0.25">
      <c r="A1787" t="s">
        <v>6</v>
      </c>
      <c r="B1787" t="s">
        <v>17</v>
      </c>
      <c r="C1787" t="s">
        <v>905</v>
      </c>
      <c r="D1787">
        <v>715000</v>
      </c>
      <c r="E1787" t="s">
        <v>906</v>
      </c>
      <c r="F1787">
        <v>53.817</v>
      </c>
      <c r="G1787">
        <v>-114.533</v>
      </c>
      <c r="H1787">
        <v>-7</v>
      </c>
      <c r="I1787">
        <v>670</v>
      </c>
      <c r="J1787" t="str">
        <f>HYPERLINK("https://climate.onebuilding.org/WMO_Region_4_North_and_Central_America/CAN_Canada/AB_Alberta/CAN_AB_Glenevis.AgCM.715000_TMYx.2004-2018.zip")</f>
        <v>https://climate.onebuilding.org/WMO_Region_4_North_and_Central_America/CAN_Canada/AB_Alberta/CAN_AB_Glenevis.AgCM.715000_TMYx.2004-2018.zip</v>
      </c>
    </row>
    <row r="1788" spans="1:10" x14ac:dyDescent="0.25">
      <c r="A1788" t="s">
        <v>6</v>
      </c>
      <c r="B1788" t="s">
        <v>17</v>
      </c>
      <c r="C1788" t="s">
        <v>905</v>
      </c>
      <c r="D1788">
        <v>715000</v>
      </c>
      <c r="E1788" t="s">
        <v>10</v>
      </c>
      <c r="F1788">
        <v>53.832500000000003</v>
      </c>
      <c r="G1788">
        <v>-114.539</v>
      </c>
      <c r="H1788">
        <v>-7</v>
      </c>
      <c r="I1788">
        <v>670</v>
      </c>
      <c r="J1788" t="str">
        <f>HYPERLINK("https://climate.onebuilding.org/WMO_Region_4_North_and_Central_America/CAN_Canada/AB_Alberta/CAN_AB_Glenevis.AgCM.715000_TMYx.2007-2021.zip")</f>
        <v>https://climate.onebuilding.org/WMO_Region_4_North_and_Central_America/CAN_Canada/AB_Alberta/CAN_AB_Glenevis.AgCM.715000_TMYx.2007-2021.zip</v>
      </c>
    </row>
    <row r="1789" spans="1:10" x14ac:dyDescent="0.25">
      <c r="A1789" t="s">
        <v>6</v>
      </c>
      <c r="B1789" t="s">
        <v>17</v>
      </c>
      <c r="C1789" t="s">
        <v>905</v>
      </c>
      <c r="D1789">
        <v>715000</v>
      </c>
      <c r="E1789" t="s">
        <v>10</v>
      </c>
      <c r="F1789">
        <v>53.832500000000003</v>
      </c>
      <c r="G1789">
        <v>-114.539</v>
      </c>
      <c r="H1789">
        <v>-7</v>
      </c>
      <c r="I1789">
        <v>670</v>
      </c>
      <c r="J1789" t="str">
        <f>HYPERLINK("https://climate.onebuilding.org/WMO_Region_4_North_and_Central_America/CAN_Canada/AB_Alberta/CAN_AB_Glenevis.AgCM.715000_TMYx.2009-2023.zip")</f>
        <v>https://climate.onebuilding.org/WMO_Region_4_North_and_Central_America/CAN_Canada/AB_Alberta/CAN_AB_Glenevis.AgCM.715000_TMYx.2009-2023.zip</v>
      </c>
    </row>
    <row r="1790" spans="1:10" x14ac:dyDescent="0.25">
      <c r="A1790" t="s">
        <v>6</v>
      </c>
      <c r="B1790" t="s">
        <v>17</v>
      </c>
      <c r="C1790" t="s">
        <v>905</v>
      </c>
      <c r="D1790">
        <v>715000</v>
      </c>
      <c r="E1790" t="s">
        <v>10</v>
      </c>
      <c r="F1790">
        <v>53.832500000000003</v>
      </c>
      <c r="G1790">
        <v>-114.539</v>
      </c>
      <c r="H1790">
        <v>-7</v>
      </c>
      <c r="I1790">
        <v>670</v>
      </c>
      <c r="J1790" t="str">
        <f>HYPERLINK("https://climate.onebuilding.org/WMO_Region_4_North_and_Central_America/CAN_Canada/AB_Alberta/CAN_AB_Glenevis.AgCM.715000_TMYx.zip")</f>
        <v>https://climate.onebuilding.org/WMO_Region_4_North_and_Central_America/CAN_Canada/AB_Alberta/CAN_AB_Glenevis.AgCM.715000_TMYx.zip</v>
      </c>
    </row>
    <row r="1791" spans="1:10" x14ac:dyDescent="0.25">
      <c r="A1791" t="s">
        <v>6</v>
      </c>
      <c r="B1791" t="s">
        <v>7</v>
      </c>
      <c r="C1791" t="s">
        <v>907</v>
      </c>
      <c r="D1791">
        <v>715010</v>
      </c>
      <c r="E1791" t="s">
        <v>908</v>
      </c>
      <c r="F1791">
        <v>69.568299999999994</v>
      </c>
      <c r="G1791">
        <v>-138.91329999999999</v>
      </c>
      <c r="H1791">
        <v>-8</v>
      </c>
      <c r="I1791">
        <v>1.2</v>
      </c>
      <c r="J1791" t="str">
        <f>HYPERLINK("https://climate.onebuilding.org/WMO_Region_4_North_and_Central_America/CAN_Canada/YT_Yukon/CAN_YT_Herschel.Island.715010_TMYx.2004-2018.zip")</f>
        <v>https://climate.onebuilding.org/WMO_Region_4_North_and_Central_America/CAN_Canada/YT_Yukon/CAN_YT_Herschel.Island.715010_TMYx.2004-2018.zip</v>
      </c>
    </row>
    <row r="1792" spans="1:10" x14ac:dyDescent="0.25">
      <c r="A1792" t="s">
        <v>6</v>
      </c>
      <c r="B1792" t="s">
        <v>7</v>
      </c>
      <c r="C1792" t="s">
        <v>907</v>
      </c>
      <c r="D1792">
        <v>715010</v>
      </c>
      <c r="E1792" t="s">
        <v>10</v>
      </c>
      <c r="F1792">
        <v>69.568299999999994</v>
      </c>
      <c r="G1792">
        <v>-138.91329999999999</v>
      </c>
      <c r="H1792">
        <v>-8</v>
      </c>
      <c r="I1792">
        <v>1.2</v>
      </c>
      <c r="J1792" t="str">
        <f>HYPERLINK("https://climate.onebuilding.org/WMO_Region_4_North_and_Central_America/CAN_Canada/YT_Yukon/CAN_YT_Herschel.Island.715010_TMYx.2007-2021.zip")</f>
        <v>https://climate.onebuilding.org/WMO_Region_4_North_and_Central_America/CAN_Canada/YT_Yukon/CAN_YT_Herschel.Island.715010_TMYx.2007-2021.zip</v>
      </c>
    </row>
    <row r="1793" spans="1:10" x14ac:dyDescent="0.25">
      <c r="A1793" t="s">
        <v>6</v>
      </c>
      <c r="B1793" t="s">
        <v>7</v>
      </c>
      <c r="C1793" t="s">
        <v>907</v>
      </c>
      <c r="D1793">
        <v>715010</v>
      </c>
      <c r="E1793" t="s">
        <v>10</v>
      </c>
      <c r="F1793">
        <v>69.568299999999994</v>
      </c>
      <c r="G1793">
        <v>-138.91329999999999</v>
      </c>
      <c r="H1793">
        <v>-8</v>
      </c>
      <c r="I1793">
        <v>1.2</v>
      </c>
      <c r="J1793" t="str">
        <f>HYPERLINK("https://climate.onebuilding.org/WMO_Region_4_North_and_Central_America/CAN_Canada/YT_Yukon/CAN_YT_Herschel.Island.715010_TMYx.2009-2023.zip")</f>
        <v>https://climate.onebuilding.org/WMO_Region_4_North_and_Central_America/CAN_Canada/YT_Yukon/CAN_YT_Herschel.Island.715010_TMYx.2009-2023.zip</v>
      </c>
    </row>
    <row r="1794" spans="1:10" x14ac:dyDescent="0.25">
      <c r="A1794" t="s">
        <v>6</v>
      </c>
      <c r="B1794" t="s">
        <v>7</v>
      </c>
      <c r="C1794" t="s">
        <v>907</v>
      </c>
      <c r="D1794">
        <v>715010</v>
      </c>
      <c r="E1794" t="s">
        <v>10</v>
      </c>
      <c r="F1794">
        <v>69.568299999999994</v>
      </c>
      <c r="G1794">
        <v>-138.91329999999999</v>
      </c>
      <c r="H1794">
        <v>-8</v>
      </c>
      <c r="I1794">
        <v>1.2</v>
      </c>
      <c r="J1794" t="str">
        <f>HYPERLINK("https://climate.onebuilding.org/WMO_Region_4_North_and_Central_America/CAN_Canada/YT_Yukon/CAN_YT_Herschel.Island.715010_TMYx.zip")</f>
        <v>https://climate.onebuilding.org/WMO_Region_4_North_and_Central_America/CAN_Canada/YT_Yukon/CAN_YT_Herschel.Island.715010_TMYx.zip</v>
      </c>
    </row>
    <row r="1795" spans="1:10" x14ac:dyDescent="0.25">
      <c r="A1795" t="s">
        <v>6</v>
      </c>
      <c r="B1795" t="s">
        <v>48</v>
      </c>
      <c r="C1795" t="s">
        <v>909</v>
      </c>
      <c r="D1795">
        <v>715020</v>
      </c>
      <c r="E1795" t="s">
        <v>910</v>
      </c>
      <c r="F1795">
        <v>69.617000000000004</v>
      </c>
      <c r="G1795">
        <v>-135.43299999999999</v>
      </c>
      <c r="H1795">
        <v>-7</v>
      </c>
      <c r="I1795">
        <v>17</v>
      </c>
      <c r="J1795" t="str">
        <f>HYPERLINK("https://climate.onebuilding.org/WMO_Region_4_North_and_Central_America/CAN_Canada/NT_Northwest_Territories/CAN_NT_Pelly.Island.715020_TMYx.2004-2018.zip")</f>
        <v>https://climate.onebuilding.org/WMO_Region_4_North_and_Central_America/CAN_Canada/NT_Northwest_Territories/CAN_NT_Pelly.Island.715020_TMYx.2004-2018.zip</v>
      </c>
    </row>
    <row r="1796" spans="1:10" x14ac:dyDescent="0.25">
      <c r="A1796" t="s">
        <v>6</v>
      </c>
      <c r="B1796" t="s">
        <v>48</v>
      </c>
      <c r="C1796" t="s">
        <v>909</v>
      </c>
      <c r="D1796">
        <v>715020</v>
      </c>
      <c r="E1796" t="s">
        <v>10</v>
      </c>
      <c r="F1796">
        <v>69.623000000000005</v>
      </c>
      <c r="G1796">
        <v>-135.43600000000001</v>
      </c>
      <c r="H1796">
        <v>-7</v>
      </c>
      <c r="I1796">
        <v>17</v>
      </c>
      <c r="J1796" t="str">
        <f>HYPERLINK("https://climate.onebuilding.org/WMO_Region_4_North_and_Central_America/CAN_Canada/NT_Northwest_Territories/CAN_NT_Pelly.Island.715020_TMYx.2007-2021.zip")</f>
        <v>https://climate.onebuilding.org/WMO_Region_4_North_and_Central_America/CAN_Canada/NT_Northwest_Territories/CAN_NT_Pelly.Island.715020_TMYx.2007-2021.zip</v>
      </c>
    </row>
    <row r="1797" spans="1:10" x14ac:dyDescent="0.25">
      <c r="A1797" t="s">
        <v>6</v>
      </c>
      <c r="B1797" t="s">
        <v>48</v>
      </c>
      <c r="C1797" t="s">
        <v>909</v>
      </c>
      <c r="D1797">
        <v>715020</v>
      </c>
      <c r="E1797" t="s">
        <v>10</v>
      </c>
      <c r="F1797">
        <v>69.623000000000005</v>
      </c>
      <c r="G1797">
        <v>-135.43600000000001</v>
      </c>
      <c r="H1797">
        <v>-7</v>
      </c>
      <c r="I1797">
        <v>17</v>
      </c>
      <c r="J1797" t="str">
        <f>HYPERLINK("https://climate.onebuilding.org/WMO_Region_4_North_and_Central_America/CAN_Canada/NT_Northwest_Territories/CAN_NT_Pelly.Island.715020_TMYx.2009-2023.zip")</f>
        <v>https://climate.onebuilding.org/WMO_Region_4_North_and_Central_America/CAN_Canada/NT_Northwest_Territories/CAN_NT_Pelly.Island.715020_TMYx.2009-2023.zip</v>
      </c>
    </row>
    <row r="1798" spans="1:10" x14ac:dyDescent="0.25">
      <c r="A1798" t="s">
        <v>6</v>
      </c>
      <c r="B1798" t="s">
        <v>48</v>
      </c>
      <c r="C1798" t="s">
        <v>909</v>
      </c>
      <c r="D1798">
        <v>715020</v>
      </c>
      <c r="E1798" t="s">
        <v>10</v>
      </c>
      <c r="F1798">
        <v>69.623000000000005</v>
      </c>
      <c r="G1798">
        <v>-135.43600000000001</v>
      </c>
      <c r="H1798">
        <v>-7</v>
      </c>
      <c r="I1798">
        <v>17</v>
      </c>
      <c r="J1798" t="str">
        <f>HYPERLINK("https://climate.onebuilding.org/WMO_Region_4_North_and_Central_America/CAN_Canada/NT_Northwest_Territories/CAN_NT_Pelly.Island.715020_TMYx.zip")</f>
        <v>https://climate.onebuilding.org/WMO_Region_4_North_and_Central_America/CAN_Canada/NT_Northwest_Territories/CAN_NT_Pelly.Island.715020_TMYx.zip</v>
      </c>
    </row>
    <row r="1799" spans="1:10" x14ac:dyDescent="0.25">
      <c r="A1799" t="s">
        <v>6</v>
      </c>
      <c r="B1799" t="s">
        <v>48</v>
      </c>
      <c r="C1799" t="s">
        <v>911</v>
      </c>
      <c r="D1799">
        <v>715030</v>
      </c>
      <c r="E1799" t="s">
        <v>912</v>
      </c>
      <c r="F1799">
        <v>65.208600000000004</v>
      </c>
      <c r="G1799">
        <v>-123.4333</v>
      </c>
      <c r="H1799">
        <v>-7</v>
      </c>
      <c r="I1799">
        <v>212.8</v>
      </c>
      <c r="J1799" t="str">
        <f>HYPERLINK("https://climate.onebuilding.org/WMO_Region_4_North_and_Central_America/CAN_Canada/NT_Northwest_Territories/CAN_NT_Deline.AP.715030_TMYx.2004-2018.zip")</f>
        <v>https://climate.onebuilding.org/WMO_Region_4_North_and_Central_America/CAN_Canada/NT_Northwest_Territories/CAN_NT_Deline.AP.715030_TMYx.2004-2018.zip</v>
      </c>
    </row>
    <row r="1800" spans="1:10" x14ac:dyDescent="0.25">
      <c r="A1800" t="s">
        <v>6</v>
      </c>
      <c r="B1800" t="s">
        <v>48</v>
      </c>
      <c r="C1800" t="s">
        <v>911</v>
      </c>
      <c r="D1800">
        <v>715030</v>
      </c>
      <c r="E1800" t="s">
        <v>10</v>
      </c>
      <c r="F1800">
        <v>65.208600000000004</v>
      </c>
      <c r="G1800">
        <v>-123.4333</v>
      </c>
      <c r="H1800">
        <v>-7</v>
      </c>
      <c r="I1800">
        <v>212.8</v>
      </c>
      <c r="J1800" t="str">
        <f>HYPERLINK("https://climate.onebuilding.org/WMO_Region_4_North_and_Central_America/CAN_Canada/NT_Northwest_Territories/CAN_NT_Deline.AP.715030_TMYx.2007-2021.zip")</f>
        <v>https://climate.onebuilding.org/WMO_Region_4_North_and_Central_America/CAN_Canada/NT_Northwest_Territories/CAN_NT_Deline.AP.715030_TMYx.2007-2021.zip</v>
      </c>
    </row>
    <row r="1801" spans="1:10" x14ac:dyDescent="0.25">
      <c r="A1801" t="s">
        <v>6</v>
      </c>
      <c r="B1801" t="s">
        <v>48</v>
      </c>
      <c r="C1801" t="s">
        <v>911</v>
      </c>
      <c r="D1801">
        <v>715030</v>
      </c>
      <c r="E1801" t="s">
        <v>10</v>
      </c>
      <c r="F1801">
        <v>65.208600000000004</v>
      </c>
      <c r="G1801">
        <v>-123.4333</v>
      </c>
      <c r="H1801">
        <v>-7</v>
      </c>
      <c r="I1801">
        <v>212.8</v>
      </c>
      <c r="J1801" t="str">
        <f>HYPERLINK("https://climate.onebuilding.org/WMO_Region_4_North_and_Central_America/CAN_Canada/NT_Northwest_Territories/CAN_NT_Deline.AP.715030_TMYx.2009-2023.zip")</f>
        <v>https://climate.onebuilding.org/WMO_Region_4_North_and_Central_America/CAN_Canada/NT_Northwest_Territories/CAN_NT_Deline.AP.715030_TMYx.2009-2023.zip</v>
      </c>
    </row>
    <row r="1802" spans="1:10" x14ac:dyDescent="0.25">
      <c r="A1802" t="s">
        <v>6</v>
      </c>
      <c r="B1802" t="s">
        <v>48</v>
      </c>
      <c r="C1802" t="s">
        <v>911</v>
      </c>
      <c r="D1802">
        <v>715030</v>
      </c>
      <c r="E1802" t="s">
        <v>10</v>
      </c>
      <c r="F1802">
        <v>65.208600000000004</v>
      </c>
      <c r="G1802">
        <v>-123.4333</v>
      </c>
      <c r="H1802">
        <v>-7</v>
      </c>
      <c r="I1802">
        <v>212.8</v>
      </c>
      <c r="J1802" t="str">
        <f>HYPERLINK("https://climate.onebuilding.org/WMO_Region_4_North_and_Central_America/CAN_Canada/NT_Northwest_Territories/CAN_NT_Deline.AP.715030_TMYx.zip")</f>
        <v>https://climate.onebuilding.org/WMO_Region_4_North_and_Central_America/CAN_Canada/NT_Northwest_Territories/CAN_NT_Deline.AP.715030_TMYx.zip</v>
      </c>
    </row>
    <row r="1803" spans="1:10" x14ac:dyDescent="0.25">
      <c r="A1803" t="s">
        <v>6</v>
      </c>
      <c r="B1803" t="s">
        <v>17</v>
      </c>
      <c r="C1803" t="s">
        <v>913</v>
      </c>
      <c r="D1803">
        <v>715040</v>
      </c>
      <c r="E1803" t="s">
        <v>914</v>
      </c>
      <c r="F1803">
        <v>53.217199999999998</v>
      </c>
      <c r="G1803">
        <v>-113.8947</v>
      </c>
      <c r="H1803">
        <v>-7</v>
      </c>
      <c r="I1803">
        <v>754</v>
      </c>
      <c r="J1803" t="str">
        <f>HYPERLINK("https://climate.onebuilding.org/WMO_Region_4_North_and_Central_America/CAN_Canada/AB_Alberta/CAN_AB_Thorsby.AgCM.715040_TMYx.2004-2018.zip")</f>
        <v>https://climate.onebuilding.org/WMO_Region_4_North_and_Central_America/CAN_Canada/AB_Alberta/CAN_AB_Thorsby.AgCM.715040_TMYx.2004-2018.zip</v>
      </c>
    </row>
    <row r="1804" spans="1:10" x14ac:dyDescent="0.25">
      <c r="A1804" t="s">
        <v>6</v>
      </c>
      <c r="B1804" t="s">
        <v>17</v>
      </c>
      <c r="C1804" t="s">
        <v>913</v>
      </c>
      <c r="D1804">
        <v>715040</v>
      </c>
      <c r="E1804" t="s">
        <v>10</v>
      </c>
      <c r="F1804">
        <v>53.217199999999998</v>
      </c>
      <c r="G1804">
        <v>-113.8947</v>
      </c>
      <c r="H1804">
        <v>-7</v>
      </c>
      <c r="I1804">
        <v>754</v>
      </c>
      <c r="J1804" t="str">
        <f>HYPERLINK("https://climate.onebuilding.org/WMO_Region_4_North_and_Central_America/CAN_Canada/AB_Alberta/CAN_AB_Thorsby.AgCM.715040_TMYx.2007-2021.zip")</f>
        <v>https://climate.onebuilding.org/WMO_Region_4_North_and_Central_America/CAN_Canada/AB_Alberta/CAN_AB_Thorsby.AgCM.715040_TMYx.2007-2021.zip</v>
      </c>
    </row>
    <row r="1805" spans="1:10" x14ac:dyDescent="0.25">
      <c r="A1805" t="s">
        <v>6</v>
      </c>
      <c r="B1805" t="s">
        <v>17</v>
      </c>
      <c r="C1805" t="s">
        <v>913</v>
      </c>
      <c r="D1805">
        <v>715040</v>
      </c>
      <c r="E1805" t="s">
        <v>10</v>
      </c>
      <c r="F1805">
        <v>53.217199999999998</v>
      </c>
      <c r="G1805">
        <v>-113.8947</v>
      </c>
      <c r="H1805">
        <v>-7</v>
      </c>
      <c r="I1805">
        <v>754</v>
      </c>
      <c r="J1805" t="str">
        <f>HYPERLINK("https://climate.onebuilding.org/WMO_Region_4_North_and_Central_America/CAN_Canada/AB_Alberta/CAN_AB_Thorsby.AgCM.715040_TMYx.2009-2023.zip")</f>
        <v>https://climate.onebuilding.org/WMO_Region_4_North_and_Central_America/CAN_Canada/AB_Alberta/CAN_AB_Thorsby.AgCM.715040_TMYx.2009-2023.zip</v>
      </c>
    </row>
    <row r="1806" spans="1:10" x14ac:dyDescent="0.25">
      <c r="A1806" t="s">
        <v>6</v>
      </c>
      <c r="B1806" t="s">
        <v>17</v>
      </c>
      <c r="C1806" t="s">
        <v>913</v>
      </c>
      <c r="D1806">
        <v>715040</v>
      </c>
      <c r="E1806" t="s">
        <v>10</v>
      </c>
      <c r="F1806">
        <v>53.217199999999998</v>
      </c>
      <c r="G1806">
        <v>-113.8947</v>
      </c>
      <c r="H1806">
        <v>-7</v>
      </c>
      <c r="I1806">
        <v>754</v>
      </c>
      <c r="J1806" t="str">
        <f>HYPERLINK("https://climate.onebuilding.org/WMO_Region_4_North_and_Central_America/CAN_Canada/AB_Alberta/CAN_AB_Thorsby.AgCM.715040_TMYx.zip")</f>
        <v>https://climate.onebuilding.org/WMO_Region_4_North_and_Central_America/CAN_Canada/AB_Alberta/CAN_AB_Thorsby.AgCM.715040_TMYx.zip</v>
      </c>
    </row>
    <row r="1807" spans="1:10" x14ac:dyDescent="0.25">
      <c r="A1807" t="s">
        <v>6</v>
      </c>
      <c r="B1807" t="s">
        <v>7</v>
      </c>
      <c r="C1807" t="s">
        <v>915</v>
      </c>
      <c r="D1807">
        <v>715050</v>
      </c>
      <c r="E1807" t="s">
        <v>916</v>
      </c>
      <c r="F1807">
        <v>60.772500000000001</v>
      </c>
      <c r="G1807">
        <v>-137.58029999999999</v>
      </c>
      <c r="H1807">
        <v>-8</v>
      </c>
      <c r="I1807">
        <v>595.29999999999995</v>
      </c>
      <c r="J1807" t="str">
        <f>HYPERLINK("https://climate.onebuilding.org/WMO_Region_4_North_and_Central_America/CAN_Canada/YT_Yukon/CAN_YT_Haines.Junction.715050_TMYx.2004-2018.zip")</f>
        <v>https://climate.onebuilding.org/WMO_Region_4_North_and_Central_America/CAN_Canada/YT_Yukon/CAN_YT_Haines.Junction.715050_TMYx.2004-2018.zip</v>
      </c>
    </row>
    <row r="1808" spans="1:10" x14ac:dyDescent="0.25">
      <c r="A1808" t="s">
        <v>6</v>
      </c>
      <c r="B1808" t="s">
        <v>7</v>
      </c>
      <c r="C1808" t="s">
        <v>915</v>
      </c>
      <c r="D1808">
        <v>715050</v>
      </c>
      <c r="E1808" t="s">
        <v>10</v>
      </c>
      <c r="F1808">
        <v>60.772500000000001</v>
      </c>
      <c r="G1808">
        <v>-137.58029999999999</v>
      </c>
      <c r="H1808">
        <v>-8</v>
      </c>
      <c r="I1808">
        <v>595.29999999999995</v>
      </c>
      <c r="J1808" t="str">
        <f>HYPERLINK("https://climate.onebuilding.org/WMO_Region_4_North_and_Central_America/CAN_Canada/YT_Yukon/CAN_YT_Haines.Junction.715050_TMYx.2007-2021.zip")</f>
        <v>https://climate.onebuilding.org/WMO_Region_4_North_and_Central_America/CAN_Canada/YT_Yukon/CAN_YT_Haines.Junction.715050_TMYx.2007-2021.zip</v>
      </c>
    </row>
    <row r="1809" spans="1:10" x14ac:dyDescent="0.25">
      <c r="A1809" t="s">
        <v>6</v>
      </c>
      <c r="B1809" t="s">
        <v>7</v>
      </c>
      <c r="C1809" t="s">
        <v>915</v>
      </c>
      <c r="D1809">
        <v>715050</v>
      </c>
      <c r="E1809" t="s">
        <v>10</v>
      </c>
      <c r="F1809">
        <v>60.772500000000001</v>
      </c>
      <c r="G1809">
        <v>-137.58029999999999</v>
      </c>
      <c r="H1809">
        <v>-8</v>
      </c>
      <c r="I1809">
        <v>595.29999999999995</v>
      </c>
      <c r="J1809" t="str">
        <f>HYPERLINK("https://climate.onebuilding.org/WMO_Region_4_North_and_Central_America/CAN_Canada/YT_Yukon/CAN_YT_Haines.Junction.715050_TMYx.2009-2023.zip")</f>
        <v>https://climate.onebuilding.org/WMO_Region_4_North_and_Central_America/CAN_Canada/YT_Yukon/CAN_YT_Haines.Junction.715050_TMYx.2009-2023.zip</v>
      </c>
    </row>
    <row r="1810" spans="1:10" x14ac:dyDescent="0.25">
      <c r="A1810" t="s">
        <v>6</v>
      </c>
      <c r="B1810" t="s">
        <v>7</v>
      </c>
      <c r="C1810" t="s">
        <v>915</v>
      </c>
      <c r="D1810">
        <v>715050</v>
      </c>
      <c r="E1810" t="s">
        <v>10</v>
      </c>
      <c r="F1810">
        <v>60.772500000000001</v>
      </c>
      <c r="G1810">
        <v>-137.58029999999999</v>
      </c>
      <c r="H1810">
        <v>-8</v>
      </c>
      <c r="I1810">
        <v>595.29999999999995</v>
      </c>
      <c r="J1810" t="str">
        <f>HYPERLINK("https://climate.onebuilding.org/WMO_Region_4_North_and_Central_America/CAN_Canada/YT_Yukon/CAN_YT_Haines.Junction.715050_TMYx.zip")</f>
        <v>https://climate.onebuilding.org/WMO_Region_4_North_and_Central_America/CAN_Canada/YT_Yukon/CAN_YT_Haines.Junction.715050_TMYx.zip</v>
      </c>
    </row>
    <row r="1811" spans="1:10" x14ac:dyDescent="0.25">
      <c r="A1811" t="s">
        <v>6</v>
      </c>
      <c r="B1811" t="s">
        <v>7</v>
      </c>
      <c r="C1811" t="s">
        <v>917</v>
      </c>
      <c r="D1811">
        <v>715060</v>
      </c>
      <c r="E1811" t="s">
        <v>918</v>
      </c>
      <c r="F1811">
        <v>66.981099999999998</v>
      </c>
      <c r="G1811">
        <v>-136.21799999999999</v>
      </c>
      <c r="H1811">
        <v>-8</v>
      </c>
      <c r="I1811">
        <v>731</v>
      </c>
      <c r="J1811" t="str">
        <f>HYPERLINK("https://climate.onebuilding.org/WMO_Region_4_North_and_Central_America/CAN_Canada/YT_Yukon/CAN_YT_Rock.River.715060_TMYx.2004-2018.zip")</f>
        <v>https://climate.onebuilding.org/WMO_Region_4_North_and_Central_America/CAN_Canada/YT_Yukon/CAN_YT_Rock.River.715060_TMYx.2004-2018.zip</v>
      </c>
    </row>
    <row r="1812" spans="1:10" x14ac:dyDescent="0.25">
      <c r="A1812" t="s">
        <v>6</v>
      </c>
      <c r="B1812" t="s">
        <v>7</v>
      </c>
      <c r="C1812" t="s">
        <v>917</v>
      </c>
      <c r="D1812">
        <v>715060</v>
      </c>
      <c r="E1812" t="s">
        <v>10</v>
      </c>
      <c r="F1812">
        <v>66.981099999999998</v>
      </c>
      <c r="G1812">
        <v>-136.21799999999999</v>
      </c>
      <c r="H1812">
        <v>-8</v>
      </c>
      <c r="I1812">
        <v>731</v>
      </c>
      <c r="J1812" t="str">
        <f>HYPERLINK("https://climate.onebuilding.org/WMO_Region_4_North_and_Central_America/CAN_Canada/YT_Yukon/CAN_YT_Rock.River.715060_TMYx.2007-2021.zip")</f>
        <v>https://climate.onebuilding.org/WMO_Region_4_North_and_Central_America/CAN_Canada/YT_Yukon/CAN_YT_Rock.River.715060_TMYx.2007-2021.zip</v>
      </c>
    </row>
    <row r="1813" spans="1:10" x14ac:dyDescent="0.25">
      <c r="A1813" t="s">
        <v>6</v>
      </c>
      <c r="B1813" t="s">
        <v>7</v>
      </c>
      <c r="C1813" t="s">
        <v>917</v>
      </c>
      <c r="D1813">
        <v>715060</v>
      </c>
      <c r="E1813" t="s">
        <v>10</v>
      </c>
      <c r="F1813">
        <v>66.981099999999998</v>
      </c>
      <c r="G1813">
        <v>-136.21799999999999</v>
      </c>
      <c r="H1813">
        <v>-8</v>
      </c>
      <c r="I1813">
        <v>731</v>
      </c>
      <c r="J1813" t="str">
        <f>HYPERLINK("https://climate.onebuilding.org/WMO_Region_4_North_and_Central_America/CAN_Canada/YT_Yukon/CAN_YT_Rock.River.715060_TMYx.2009-2023.zip")</f>
        <v>https://climate.onebuilding.org/WMO_Region_4_North_and_Central_America/CAN_Canada/YT_Yukon/CAN_YT_Rock.River.715060_TMYx.2009-2023.zip</v>
      </c>
    </row>
    <row r="1814" spans="1:10" x14ac:dyDescent="0.25">
      <c r="A1814" t="s">
        <v>6</v>
      </c>
      <c r="B1814" t="s">
        <v>7</v>
      </c>
      <c r="C1814" t="s">
        <v>917</v>
      </c>
      <c r="D1814">
        <v>715060</v>
      </c>
      <c r="E1814" t="s">
        <v>10</v>
      </c>
      <c r="F1814">
        <v>66.981099999999998</v>
      </c>
      <c r="G1814">
        <v>-136.21799999999999</v>
      </c>
      <c r="H1814">
        <v>-8</v>
      </c>
      <c r="I1814">
        <v>731</v>
      </c>
      <c r="J1814" t="str">
        <f>HYPERLINK("https://climate.onebuilding.org/WMO_Region_4_North_and_Central_America/CAN_Canada/YT_Yukon/CAN_YT_Rock.River.715060_TMYx.zip")</f>
        <v>https://climate.onebuilding.org/WMO_Region_4_North_and_Central_America/CAN_Canada/YT_Yukon/CAN_YT_Rock.River.715060_TMYx.zip</v>
      </c>
    </row>
    <row r="1815" spans="1:10" x14ac:dyDescent="0.25">
      <c r="A1815" t="s">
        <v>6</v>
      </c>
      <c r="B1815" t="s">
        <v>17</v>
      </c>
      <c r="C1815" t="s">
        <v>919</v>
      </c>
      <c r="D1815">
        <v>715070</v>
      </c>
      <c r="E1815" t="s">
        <v>920</v>
      </c>
      <c r="F1815">
        <v>57.25</v>
      </c>
      <c r="G1815">
        <v>-117.283</v>
      </c>
      <c r="H1815">
        <v>-7</v>
      </c>
      <c r="I1815">
        <v>455</v>
      </c>
      <c r="J1815" t="str">
        <f>HYPERLINK("https://climate.onebuilding.org/WMO_Region_4_North_and_Central_America/CAN_Canada/AB_Alberta/CAN_AB_Hawk.Hills.AgCM.715070_TMYx.2004-2018.zip")</f>
        <v>https://climate.onebuilding.org/WMO_Region_4_North_and_Central_America/CAN_Canada/AB_Alberta/CAN_AB_Hawk.Hills.AgCM.715070_TMYx.2004-2018.zip</v>
      </c>
    </row>
    <row r="1816" spans="1:10" x14ac:dyDescent="0.25">
      <c r="A1816" t="s">
        <v>6</v>
      </c>
      <c r="B1816" t="s">
        <v>17</v>
      </c>
      <c r="C1816" t="s">
        <v>919</v>
      </c>
      <c r="D1816">
        <v>715070</v>
      </c>
      <c r="E1816" t="s">
        <v>10</v>
      </c>
      <c r="F1816">
        <v>57.265000000000001</v>
      </c>
      <c r="G1816">
        <v>-117.298</v>
      </c>
      <c r="H1816">
        <v>-7</v>
      </c>
      <c r="I1816">
        <v>455</v>
      </c>
      <c r="J1816" t="str">
        <f>HYPERLINK("https://climate.onebuilding.org/WMO_Region_4_North_and_Central_America/CAN_Canada/AB_Alberta/CAN_AB_Hawk.Hills.AgCM.715070_TMYx.2007-2021.zip")</f>
        <v>https://climate.onebuilding.org/WMO_Region_4_North_and_Central_America/CAN_Canada/AB_Alberta/CAN_AB_Hawk.Hills.AgCM.715070_TMYx.2007-2021.zip</v>
      </c>
    </row>
    <row r="1817" spans="1:10" x14ac:dyDescent="0.25">
      <c r="A1817" t="s">
        <v>6</v>
      </c>
      <c r="B1817" t="s">
        <v>17</v>
      </c>
      <c r="C1817" t="s">
        <v>919</v>
      </c>
      <c r="D1817">
        <v>715070</v>
      </c>
      <c r="E1817" t="s">
        <v>10</v>
      </c>
      <c r="F1817">
        <v>57.265000000000001</v>
      </c>
      <c r="G1817">
        <v>-117.298</v>
      </c>
      <c r="H1817">
        <v>-7</v>
      </c>
      <c r="I1817">
        <v>455</v>
      </c>
      <c r="J1817" t="str">
        <f>HYPERLINK("https://climate.onebuilding.org/WMO_Region_4_North_and_Central_America/CAN_Canada/AB_Alberta/CAN_AB_Hawk.Hills.AgCM.715070_TMYx.2009-2023.zip")</f>
        <v>https://climate.onebuilding.org/WMO_Region_4_North_and_Central_America/CAN_Canada/AB_Alberta/CAN_AB_Hawk.Hills.AgCM.715070_TMYx.2009-2023.zip</v>
      </c>
    </row>
    <row r="1818" spans="1:10" x14ac:dyDescent="0.25">
      <c r="A1818" t="s">
        <v>6</v>
      </c>
      <c r="B1818" t="s">
        <v>17</v>
      </c>
      <c r="C1818" t="s">
        <v>919</v>
      </c>
      <c r="D1818">
        <v>715070</v>
      </c>
      <c r="E1818" t="s">
        <v>10</v>
      </c>
      <c r="F1818">
        <v>57.265000000000001</v>
      </c>
      <c r="G1818">
        <v>-117.298</v>
      </c>
      <c r="H1818">
        <v>-7</v>
      </c>
      <c r="I1818">
        <v>455</v>
      </c>
      <c r="J1818" t="str">
        <f>HYPERLINK("https://climate.onebuilding.org/WMO_Region_4_North_and_Central_America/CAN_Canada/AB_Alberta/CAN_AB_Hawk.Hills.AgCM.715070_TMYx.zip")</f>
        <v>https://climate.onebuilding.org/WMO_Region_4_North_and_Central_America/CAN_Canada/AB_Alberta/CAN_AB_Hawk.Hills.AgCM.715070_TMYx.zip</v>
      </c>
    </row>
    <row r="1819" spans="1:10" x14ac:dyDescent="0.25">
      <c r="A1819" t="s">
        <v>6</v>
      </c>
      <c r="B1819" t="s">
        <v>130</v>
      </c>
      <c r="C1819" t="s">
        <v>921</v>
      </c>
      <c r="D1819">
        <v>715080</v>
      </c>
      <c r="E1819" t="s">
        <v>922</v>
      </c>
      <c r="F1819">
        <v>43.665799999999997</v>
      </c>
      <c r="G1819">
        <v>-79.395300000000006</v>
      </c>
      <c r="H1819">
        <v>-5</v>
      </c>
      <c r="I1819">
        <v>112.5</v>
      </c>
      <c r="J1819" t="str">
        <f>HYPERLINK("https://climate.onebuilding.org/WMO_Region_4_North_and_Central_America/CAN_Canada/ON_Ontario/CAN_ON_Toronto.City-Univ.of.Toronto.715080_TMYx.2004-2018.zip")</f>
        <v>https://climate.onebuilding.org/WMO_Region_4_North_and_Central_America/CAN_Canada/ON_Ontario/CAN_ON_Toronto.City-Univ.of.Toronto.715080_TMYx.2004-2018.zip</v>
      </c>
    </row>
    <row r="1820" spans="1:10" x14ac:dyDescent="0.25">
      <c r="A1820" t="s">
        <v>6</v>
      </c>
      <c r="B1820" t="s">
        <v>130</v>
      </c>
      <c r="C1820" t="s">
        <v>921</v>
      </c>
      <c r="D1820">
        <v>715080</v>
      </c>
      <c r="E1820" t="s">
        <v>10</v>
      </c>
      <c r="F1820">
        <v>43.665799999999997</v>
      </c>
      <c r="G1820">
        <v>-79.395300000000006</v>
      </c>
      <c r="H1820">
        <v>-5</v>
      </c>
      <c r="I1820">
        <v>112.5</v>
      </c>
      <c r="J1820" t="str">
        <f>HYPERLINK("https://climate.onebuilding.org/WMO_Region_4_North_and_Central_America/CAN_Canada/ON_Ontario/CAN_ON_Toronto.City-Univ.of.Toronto.715080_TMYx.2007-2021.zip")</f>
        <v>https://climate.onebuilding.org/WMO_Region_4_North_and_Central_America/CAN_Canada/ON_Ontario/CAN_ON_Toronto.City-Univ.of.Toronto.715080_TMYx.2007-2021.zip</v>
      </c>
    </row>
    <row r="1821" spans="1:10" x14ac:dyDescent="0.25">
      <c r="A1821" t="s">
        <v>6</v>
      </c>
      <c r="B1821" t="s">
        <v>130</v>
      </c>
      <c r="C1821" t="s">
        <v>921</v>
      </c>
      <c r="D1821">
        <v>715080</v>
      </c>
      <c r="E1821" t="s">
        <v>10</v>
      </c>
      <c r="F1821">
        <v>43.665799999999997</v>
      </c>
      <c r="G1821">
        <v>-79.395300000000006</v>
      </c>
      <c r="H1821">
        <v>-5</v>
      </c>
      <c r="I1821">
        <v>112.5</v>
      </c>
      <c r="J1821" t="str">
        <f>HYPERLINK("https://climate.onebuilding.org/WMO_Region_4_North_and_Central_America/CAN_Canada/ON_Ontario/CAN_ON_Toronto.City-Univ.of.Toronto.715080_TMYx.2009-2023.zip")</f>
        <v>https://climate.onebuilding.org/WMO_Region_4_North_and_Central_America/CAN_Canada/ON_Ontario/CAN_ON_Toronto.City-Univ.of.Toronto.715080_TMYx.2009-2023.zip</v>
      </c>
    </row>
    <row r="1822" spans="1:10" x14ac:dyDescent="0.25">
      <c r="A1822" t="s">
        <v>6</v>
      </c>
      <c r="B1822" t="s">
        <v>130</v>
      </c>
      <c r="C1822" t="s">
        <v>921</v>
      </c>
      <c r="D1822">
        <v>715080</v>
      </c>
      <c r="E1822" t="s">
        <v>10</v>
      </c>
      <c r="F1822">
        <v>43.665799999999997</v>
      </c>
      <c r="G1822">
        <v>-79.395300000000006</v>
      </c>
      <c r="H1822">
        <v>-5</v>
      </c>
      <c r="I1822">
        <v>112.5</v>
      </c>
      <c r="J1822" t="str">
        <f>HYPERLINK("https://climate.onebuilding.org/WMO_Region_4_North_and_Central_America/CAN_Canada/ON_Ontario/CAN_ON_Toronto.City-Univ.of.Toronto.715080_TMYx.zip")</f>
        <v>https://climate.onebuilding.org/WMO_Region_4_North_and_Central_America/CAN_Canada/ON_Ontario/CAN_ON_Toronto.City-Univ.of.Toronto.715080_TMYx.zip</v>
      </c>
    </row>
    <row r="1823" spans="1:10" x14ac:dyDescent="0.25">
      <c r="A1823" t="s">
        <v>6</v>
      </c>
      <c r="B1823" t="s">
        <v>17</v>
      </c>
      <c r="C1823" t="s">
        <v>923</v>
      </c>
      <c r="D1823">
        <v>715090</v>
      </c>
      <c r="E1823" t="s">
        <v>924</v>
      </c>
      <c r="F1823">
        <v>49.683300000000003</v>
      </c>
      <c r="G1823">
        <v>-112.75</v>
      </c>
      <c r="H1823">
        <v>-7</v>
      </c>
      <c r="I1823">
        <v>903</v>
      </c>
      <c r="J1823" t="str">
        <f>HYPERLINK("https://climate.onebuilding.org/WMO_Region_4_North_and_Central_America/CAN_Canada/AB_Alberta/CAN_AB_Lethbridge.Demo.Farm.AgDM.715090_TMYx.2004-2018.zip")</f>
        <v>https://climate.onebuilding.org/WMO_Region_4_North_and_Central_America/CAN_Canada/AB_Alberta/CAN_AB_Lethbridge.Demo.Farm.AgDM.715090_TMYx.2004-2018.zip</v>
      </c>
    </row>
    <row r="1824" spans="1:10" x14ac:dyDescent="0.25">
      <c r="A1824" t="s">
        <v>6</v>
      </c>
      <c r="B1824" t="s">
        <v>17</v>
      </c>
      <c r="C1824" t="s">
        <v>923</v>
      </c>
      <c r="D1824">
        <v>715090</v>
      </c>
      <c r="E1824" t="s">
        <v>10</v>
      </c>
      <c r="F1824">
        <v>49.686700000000002</v>
      </c>
      <c r="G1824">
        <v>-112.7449</v>
      </c>
      <c r="H1824">
        <v>-7</v>
      </c>
      <c r="I1824">
        <v>903</v>
      </c>
      <c r="J1824" t="str">
        <f>HYPERLINK("https://climate.onebuilding.org/WMO_Region_4_North_and_Central_America/CAN_Canada/AB_Alberta/CAN_AB_Lethbridge.Demo.Farm.AgDM.715090_TMYx.2007-2021.zip")</f>
        <v>https://climate.onebuilding.org/WMO_Region_4_North_and_Central_America/CAN_Canada/AB_Alberta/CAN_AB_Lethbridge.Demo.Farm.AgDM.715090_TMYx.2007-2021.zip</v>
      </c>
    </row>
    <row r="1825" spans="1:10" x14ac:dyDescent="0.25">
      <c r="A1825" t="s">
        <v>6</v>
      </c>
      <c r="B1825" t="s">
        <v>17</v>
      </c>
      <c r="C1825" t="s">
        <v>923</v>
      </c>
      <c r="D1825">
        <v>715090</v>
      </c>
      <c r="E1825" t="s">
        <v>10</v>
      </c>
      <c r="F1825">
        <v>49.686700000000002</v>
      </c>
      <c r="G1825">
        <v>-112.7449</v>
      </c>
      <c r="H1825">
        <v>-7</v>
      </c>
      <c r="I1825">
        <v>903</v>
      </c>
      <c r="J1825" t="str">
        <f>HYPERLINK("https://climate.onebuilding.org/WMO_Region_4_North_and_Central_America/CAN_Canada/AB_Alberta/CAN_AB_Lethbridge.Demo.Farm.AgDM.715090_TMYx.2009-2023.zip")</f>
        <v>https://climate.onebuilding.org/WMO_Region_4_North_and_Central_America/CAN_Canada/AB_Alberta/CAN_AB_Lethbridge.Demo.Farm.AgDM.715090_TMYx.2009-2023.zip</v>
      </c>
    </row>
    <row r="1826" spans="1:10" x14ac:dyDescent="0.25">
      <c r="A1826" t="s">
        <v>6</v>
      </c>
      <c r="B1826" t="s">
        <v>17</v>
      </c>
      <c r="C1826" t="s">
        <v>923</v>
      </c>
      <c r="D1826">
        <v>715090</v>
      </c>
      <c r="E1826" t="s">
        <v>10</v>
      </c>
      <c r="F1826">
        <v>49.686700000000002</v>
      </c>
      <c r="G1826">
        <v>-112.7449</v>
      </c>
      <c r="H1826">
        <v>-7</v>
      </c>
      <c r="I1826">
        <v>903</v>
      </c>
      <c r="J1826" t="str">
        <f>HYPERLINK("https://climate.onebuilding.org/WMO_Region_4_North_and_Central_America/CAN_Canada/AB_Alberta/CAN_AB_Lethbridge.Demo.Farm.AgDM.715090_TMYx.zip")</f>
        <v>https://climate.onebuilding.org/WMO_Region_4_North_and_Central_America/CAN_Canada/AB_Alberta/CAN_AB_Lethbridge.Demo.Farm.AgDM.715090_TMYx.zip</v>
      </c>
    </row>
    <row r="1827" spans="1:10" x14ac:dyDescent="0.25">
      <c r="A1827" t="s">
        <v>6</v>
      </c>
      <c r="B1827" t="s">
        <v>58</v>
      </c>
      <c r="C1827" t="s">
        <v>925</v>
      </c>
      <c r="D1827">
        <v>715100</v>
      </c>
      <c r="E1827" t="s">
        <v>926</v>
      </c>
      <c r="F1827">
        <v>51.566699999999997</v>
      </c>
      <c r="G1827">
        <v>-107.91670000000001</v>
      </c>
      <c r="H1827">
        <v>-6</v>
      </c>
      <c r="I1827">
        <v>586</v>
      </c>
      <c r="J1827" t="str">
        <f>HYPERLINK("https://climate.onebuilding.org/WMO_Region_4_North_and_Central_America/CAN_Canada/SK_Saskatchewan/CAN_SK_Rosetown.AP.715100_TMYx.2004-2018.zip")</f>
        <v>https://climate.onebuilding.org/WMO_Region_4_North_and_Central_America/CAN_Canada/SK_Saskatchewan/CAN_SK_Rosetown.AP.715100_TMYx.2004-2018.zip</v>
      </c>
    </row>
    <row r="1828" spans="1:10" x14ac:dyDescent="0.25">
      <c r="A1828" t="s">
        <v>6</v>
      </c>
      <c r="B1828" t="s">
        <v>58</v>
      </c>
      <c r="C1828" t="s">
        <v>925</v>
      </c>
      <c r="D1828">
        <v>715100</v>
      </c>
      <c r="E1828" t="s">
        <v>10</v>
      </c>
      <c r="F1828">
        <v>51.566699999999997</v>
      </c>
      <c r="G1828">
        <v>-107.91670000000001</v>
      </c>
      <c r="H1828">
        <v>-6</v>
      </c>
      <c r="I1828">
        <v>586</v>
      </c>
      <c r="J1828" t="str">
        <f>HYPERLINK("https://climate.onebuilding.org/WMO_Region_4_North_and_Central_America/CAN_Canada/SK_Saskatchewan/CAN_SK_Rosetown.AP.715100_TMYx.2007-2021.zip")</f>
        <v>https://climate.onebuilding.org/WMO_Region_4_North_and_Central_America/CAN_Canada/SK_Saskatchewan/CAN_SK_Rosetown.AP.715100_TMYx.2007-2021.zip</v>
      </c>
    </row>
    <row r="1829" spans="1:10" x14ac:dyDescent="0.25">
      <c r="A1829" t="s">
        <v>6</v>
      </c>
      <c r="B1829" t="s">
        <v>58</v>
      </c>
      <c r="C1829" t="s">
        <v>925</v>
      </c>
      <c r="D1829">
        <v>715100</v>
      </c>
      <c r="E1829" t="s">
        <v>10</v>
      </c>
      <c r="F1829">
        <v>51.566699999999997</v>
      </c>
      <c r="G1829">
        <v>-107.91670000000001</v>
      </c>
      <c r="H1829">
        <v>-6</v>
      </c>
      <c r="I1829">
        <v>586</v>
      </c>
      <c r="J1829" t="str">
        <f>HYPERLINK("https://climate.onebuilding.org/WMO_Region_4_North_and_Central_America/CAN_Canada/SK_Saskatchewan/CAN_SK_Rosetown.AP.715100_TMYx.2009-2023.zip")</f>
        <v>https://climate.onebuilding.org/WMO_Region_4_North_and_Central_America/CAN_Canada/SK_Saskatchewan/CAN_SK_Rosetown.AP.715100_TMYx.2009-2023.zip</v>
      </c>
    </row>
    <row r="1830" spans="1:10" x14ac:dyDescent="0.25">
      <c r="A1830" t="s">
        <v>6</v>
      </c>
      <c r="B1830" t="s">
        <v>58</v>
      </c>
      <c r="C1830" t="s">
        <v>925</v>
      </c>
      <c r="D1830">
        <v>715100</v>
      </c>
      <c r="E1830" t="s">
        <v>10</v>
      </c>
      <c r="F1830">
        <v>51.566699999999997</v>
      </c>
      <c r="G1830">
        <v>-107.91670000000001</v>
      </c>
      <c r="H1830">
        <v>-6</v>
      </c>
      <c r="I1830">
        <v>586</v>
      </c>
      <c r="J1830" t="str">
        <f>HYPERLINK("https://climate.onebuilding.org/WMO_Region_4_North_and_Central_America/CAN_Canada/SK_Saskatchewan/CAN_SK_Rosetown.AP.715100_TMYx.zip")</f>
        <v>https://climate.onebuilding.org/WMO_Region_4_North_and_Central_America/CAN_Canada/SK_Saskatchewan/CAN_SK_Rosetown.AP.715100_TMYx.zip</v>
      </c>
    </row>
    <row r="1831" spans="1:10" x14ac:dyDescent="0.25">
      <c r="A1831" t="s">
        <v>6</v>
      </c>
      <c r="B1831" t="s">
        <v>58</v>
      </c>
      <c r="C1831" t="s">
        <v>927</v>
      </c>
      <c r="D1831">
        <v>715110</v>
      </c>
      <c r="E1831" t="s">
        <v>928</v>
      </c>
      <c r="F1831">
        <v>51.666699999999999</v>
      </c>
      <c r="G1831">
        <v>-105.4</v>
      </c>
      <c r="H1831">
        <v>-7</v>
      </c>
      <c r="I1831">
        <v>525.6</v>
      </c>
      <c r="J1831" t="str">
        <f>HYPERLINK("https://climate.onebuilding.org/WMO_Region_4_North_and_Central_America/CAN_Canada/SK_Saskatchewan/CAN_SK_Watrous.East.715110_TMYx.2004-2018.zip")</f>
        <v>https://climate.onebuilding.org/WMO_Region_4_North_and_Central_America/CAN_Canada/SK_Saskatchewan/CAN_SK_Watrous.East.715110_TMYx.2004-2018.zip</v>
      </c>
    </row>
    <row r="1832" spans="1:10" x14ac:dyDescent="0.25">
      <c r="A1832" t="s">
        <v>6</v>
      </c>
      <c r="B1832" t="s">
        <v>58</v>
      </c>
      <c r="C1832" t="s">
        <v>927</v>
      </c>
      <c r="D1832">
        <v>715110</v>
      </c>
      <c r="E1832" t="s">
        <v>10</v>
      </c>
      <c r="F1832">
        <v>51.666699999999999</v>
      </c>
      <c r="G1832">
        <v>-105.4</v>
      </c>
      <c r="H1832">
        <v>-7</v>
      </c>
      <c r="I1832">
        <v>525.6</v>
      </c>
      <c r="J1832" t="str">
        <f>HYPERLINK("https://climate.onebuilding.org/WMO_Region_4_North_and_Central_America/CAN_Canada/SK_Saskatchewan/CAN_SK_Watrous.East.715110_TMYx.2007-2021.zip")</f>
        <v>https://climate.onebuilding.org/WMO_Region_4_North_and_Central_America/CAN_Canada/SK_Saskatchewan/CAN_SK_Watrous.East.715110_TMYx.2007-2021.zip</v>
      </c>
    </row>
    <row r="1833" spans="1:10" x14ac:dyDescent="0.25">
      <c r="A1833" t="s">
        <v>6</v>
      </c>
      <c r="B1833" t="s">
        <v>58</v>
      </c>
      <c r="C1833" t="s">
        <v>927</v>
      </c>
      <c r="D1833">
        <v>715110</v>
      </c>
      <c r="E1833" t="s">
        <v>10</v>
      </c>
      <c r="F1833">
        <v>51.666699999999999</v>
      </c>
      <c r="G1833">
        <v>-105.4</v>
      </c>
      <c r="H1833">
        <v>-7</v>
      </c>
      <c r="I1833">
        <v>525.6</v>
      </c>
      <c r="J1833" t="str">
        <f>HYPERLINK("https://climate.onebuilding.org/WMO_Region_4_North_and_Central_America/CAN_Canada/SK_Saskatchewan/CAN_SK_Watrous.East.715110_TMYx.2009-2023.zip")</f>
        <v>https://climate.onebuilding.org/WMO_Region_4_North_and_Central_America/CAN_Canada/SK_Saskatchewan/CAN_SK_Watrous.East.715110_TMYx.2009-2023.zip</v>
      </c>
    </row>
    <row r="1834" spans="1:10" x14ac:dyDescent="0.25">
      <c r="A1834" t="s">
        <v>6</v>
      </c>
      <c r="B1834" t="s">
        <v>58</v>
      </c>
      <c r="C1834" t="s">
        <v>927</v>
      </c>
      <c r="D1834">
        <v>715110</v>
      </c>
      <c r="E1834" t="s">
        <v>10</v>
      </c>
      <c r="F1834">
        <v>51.666699999999999</v>
      </c>
      <c r="G1834">
        <v>-105.4</v>
      </c>
      <c r="H1834">
        <v>-7</v>
      </c>
      <c r="I1834">
        <v>525.6</v>
      </c>
      <c r="J1834" t="str">
        <f>HYPERLINK("https://climate.onebuilding.org/WMO_Region_4_North_and_Central_America/CAN_Canada/SK_Saskatchewan/CAN_SK_Watrous.East.715110_TMYx.zip")</f>
        <v>https://climate.onebuilding.org/WMO_Region_4_North_and_Central_America/CAN_Canada/SK_Saskatchewan/CAN_SK_Watrous.East.715110_TMYx.zip</v>
      </c>
    </row>
    <row r="1835" spans="1:10" x14ac:dyDescent="0.25">
      <c r="A1835" t="s">
        <v>6</v>
      </c>
      <c r="B1835" t="s">
        <v>14</v>
      </c>
      <c r="C1835" t="s">
        <v>929</v>
      </c>
      <c r="D1835">
        <v>715120</v>
      </c>
      <c r="E1835" t="s">
        <v>930</v>
      </c>
      <c r="F1835">
        <v>50.271389999999997</v>
      </c>
      <c r="G1835">
        <v>-64.226389999999995</v>
      </c>
      <c r="H1835">
        <v>-5</v>
      </c>
      <c r="I1835">
        <v>22</v>
      </c>
      <c r="J1835" t="str">
        <f>HYPERLINK("https://climate.onebuilding.org/WMO_Region_4_North_and_Central_America/CAN_Canada/QC_Quebec/CAN_QC_Longue-Pointe-de-Mingan.715120_TMYx.2004-2018.zip")</f>
        <v>https://climate.onebuilding.org/WMO_Region_4_North_and_Central_America/CAN_Canada/QC_Quebec/CAN_QC_Longue-Pointe-de-Mingan.715120_TMYx.2004-2018.zip</v>
      </c>
    </row>
    <row r="1836" spans="1:10" x14ac:dyDescent="0.25">
      <c r="A1836" t="s">
        <v>6</v>
      </c>
      <c r="B1836" t="s">
        <v>14</v>
      </c>
      <c r="C1836" t="s">
        <v>929</v>
      </c>
      <c r="D1836">
        <v>715120</v>
      </c>
      <c r="E1836" t="s">
        <v>10</v>
      </c>
      <c r="F1836">
        <v>50.271389999999997</v>
      </c>
      <c r="G1836">
        <v>-64.226389999999995</v>
      </c>
      <c r="H1836">
        <v>-5</v>
      </c>
      <c r="I1836">
        <v>22</v>
      </c>
      <c r="J1836" t="str">
        <f>HYPERLINK("https://climate.onebuilding.org/WMO_Region_4_North_and_Central_America/CAN_Canada/QC_Quebec/CAN_QC_Longue-Pointe-de-Mingan.715120_TMYx.2007-2021.zip")</f>
        <v>https://climate.onebuilding.org/WMO_Region_4_North_and_Central_America/CAN_Canada/QC_Quebec/CAN_QC_Longue-Pointe-de-Mingan.715120_TMYx.2007-2021.zip</v>
      </c>
    </row>
    <row r="1837" spans="1:10" x14ac:dyDescent="0.25">
      <c r="A1837" t="s">
        <v>6</v>
      </c>
      <c r="B1837" t="s">
        <v>14</v>
      </c>
      <c r="C1837" t="s">
        <v>929</v>
      </c>
      <c r="D1837">
        <v>715120</v>
      </c>
      <c r="E1837" t="s">
        <v>10</v>
      </c>
      <c r="F1837">
        <v>50.271389999999997</v>
      </c>
      <c r="G1837">
        <v>-64.226389999999995</v>
      </c>
      <c r="H1837">
        <v>-5</v>
      </c>
      <c r="I1837">
        <v>22</v>
      </c>
      <c r="J1837" t="str">
        <f>HYPERLINK("https://climate.onebuilding.org/WMO_Region_4_North_and_Central_America/CAN_Canada/QC_Quebec/CAN_QC_Longue-Pointe-de-Mingan.715120_TMYx.2009-2023.zip")</f>
        <v>https://climate.onebuilding.org/WMO_Region_4_North_and_Central_America/CAN_Canada/QC_Quebec/CAN_QC_Longue-Pointe-de-Mingan.715120_TMYx.2009-2023.zip</v>
      </c>
    </row>
    <row r="1838" spans="1:10" x14ac:dyDescent="0.25">
      <c r="A1838" t="s">
        <v>6</v>
      </c>
      <c r="B1838" t="s">
        <v>14</v>
      </c>
      <c r="C1838" t="s">
        <v>929</v>
      </c>
      <c r="D1838">
        <v>715120</v>
      </c>
      <c r="E1838" t="s">
        <v>10</v>
      </c>
      <c r="F1838">
        <v>50.271389999999997</v>
      </c>
      <c r="G1838">
        <v>-64.226389999999995</v>
      </c>
      <c r="H1838">
        <v>-5</v>
      </c>
      <c r="I1838">
        <v>22</v>
      </c>
      <c r="J1838" t="str">
        <f>HYPERLINK("https://climate.onebuilding.org/WMO_Region_4_North_and_Central_America/CAN_Canada/QC_Quebec/CAN_QC_Longue-Pointe-de-Mingan.715120_TMYx.zip")</f>
        <v>https://climate.onebuilding.org/WMO_Region_4_North_and_Central_America/CAN_Canada/QC_Quebec/CAN_QC_Longue-Pointe-de-Mingan.715120_TMYx.zip</v>
      </c>
    </row>
    <row r="1839" spans="1:10" x14ac:dyDescent="0.25">
      <c r="A1839" t="s">
        <v>6</v>
      </c>
      <c r="B1839" t="s">
        <v>14</v>
      </c>
      <c r="C1839" t="s">
        <v>931</v>
      </c>
      <c r="D1839">
        <v>715130</v>
      </c>
      <c r="E1839" t="s">
        <v>932</v>
      </c>
      <c r="F1839">
        <v>50.19</v>
      </c>
      <c r="G1839">
        <v>-61.788899999999998</v>
      </c>
      <c r="H1839">
        <v>-5</v>
      </c>
      <c r="I1839">
        <v>11.9</v>
      </c>
      <c r="J1839" t="str">
        <f>HYPERLINK("https://climate.onebuilding.org/WMO_Region_4_North_and_Central_America/CAN_Canada/QC_Quebec/CAN_QC_Natashquan.AP.715130_TMYx.2004-2018.zip")</f>
        <v>https://climate.onebuilding.org/WMO_Region_4_North_and_Central_America/CAN_Canada/QC_Quebec/CAN_QC_Natashquan.AP.715130_TMYx.2004-2018.zip</v>
      </c>
    </row>
    <row r="1840" spans="1:10" x14ac:dyDescent="0.25">
      <c r="A1840" t="s">
        <v>6</v>
      </c>
      <c r="B1840" t="s">
        <v>14</v>
      </c>
      <c r="C1840" t="s">
        <v>931</v>
      </c>
      <c r="D1840">
        <v>715130</v>
      </c>
      <c r="E1840" t="s">
        <v>10</v>
      </c>
      <c r="F1840">
        <v>50.19</v>
      </c>
      <c r="G1840">
        <v>-61.788899999999998</v>
      </c>
      <c r="H1840">
        <v>-5</v>
      </c>
      <c r="I1840">
        <v>11.9</v>
      </c>
      <c r="J1840" t="str">
        <f>HYPERLINK("https://climate.onebuilding.org/WMO_Region_4_North_and_Central_America/CAN_Canada/QC_Quebec/CAN_QC_Natashquan.AP.715130_TMYx.2007-2021.zip")</f>
        <v>https://climate.onebuilding.org/WMO_Region_4_North_and_Central_America/CAN_Canada/QC_Quebec/CAN_QC_Natashquan.AP.715130_TMYx.2007-2021.zip</v>
      </c>
    </row>
    <row r="1841" spans="1:10" x14ac:dyDescent="0.25">
      <c r="A1841" t="s">
        <v>6</v>
      </c>
      <c r="B1841" t="s">
        <v>14</v>
      </c>
      <c r="C1841" t="s">
        <v>931</v>
      </c>
      <c r="D1841">
        <v>715130</v>
      </c>
      <c r="E1841" t="s">
        <v>10</v>
      </c>
      <c r="F1841">
        <v>50.19</v>
      </c>
      <c r="G1841">
        <v>-61.788899999999998</v>
      </c>
      <c r="H1841">
        <v>-5</v>
      </c>
      <c r="I1841">
        <v>11.9</v>
      </c>
      <c r="J1841" t="str">
        <f>HYPERLINK("https://climate.onebuilding.org/WMO_Region_4_North_and_Central_America/CAN_Canada/QC_Quebec/CAN_QC_Natashquan.AP.715130_TMYx.2009-2023.zip")</f>
        <v>https://climate.onebuilding.org/WMO_Region_4_North_and_Central_America/CAN_Canada/QC_Quebec/CAN_QC_Natashquan.AP.715130_TMYx.2009-2023.zip</v>
      </c>
    </row>
    <row r="1842" spans="1:10" x14ac:dyDescent="0.25">
      <c r="A1842" t="s">
        <v>6</v>
      </c>
      <c r="B1842" t="s">
        <v>14</v>
      </c>
      <c r="C1842" t="s">
        <v>931</v>
      </c>
      <c r="D1842">
        <v>715130</v>
      </c>
      <c r="E1842" t="s">
        <v>10</v>
      </c>
      <c r="F1842">
        <v>50.19</v>
      </c>
      <c r="G1842">
        <v>-61.788899999999998</v>
      </c>
      <c r="H1842">
        <v>-5</v>
      </c>
      <c r="I1842">
        <v>11.9</v>
      </c>
      <c r="J1842" t="str">
        <f>HYPERLINK("https://climate.onebuilding.org/WMO_Region_4_North_and_Central_America/CAN_Canada/QC_Quebec/CAN_QC_Natashquan.AP.715130_TMYx.zip")</f>
        <v>https://climate.onebuilding.org/WMO_Region_4_North_and_Central_America/CAN_Canada/QC_Quebec/CAN_QC_Natashquan.AP.715130_TMYx.zip</v>
      </c>
    </row>
    <row r="1843" spans="1:10" x14ac:dyDescent="0.25">
      <c r="A1843" t="s">
        <v>6</v>
      </c>
      <c r="B1843" t="s">
        <v>58</v>
      </c>
      <c r="C1843" t="s">
        <v>933</v>
      </c>
      <c r="D1843">
        <v>715131</v>
      </c>
      <c r="E1843" t="s">
        <v>244</v>
      </c>
      <c r="F1843">
        <v>51.150120000000001</v>
      </c>
      <c r="G1843">
        <v>-106.54559999999999</v>
      </c>
      <c r="H1843">
        <v>-6</v>
      </c>
      <c r="I1843">
        <v>510</v>
      </c>
      <c r="J1843" t="str">
        <f>HYPERLINK("https://climate.onebuilding.org/WMO_Region_4_North_and_Central_America/CAN_Canada/SK_Saskatchewan/CAN_SK_Kernen.Crop.Research.Farm.715131_TMYx.2007-2021.zip")</f>
        <v>https://climate.onebuilding.org/WMO_Region_4_North_and_Central_America/CAN_Canada/SK_Saskatchewan/CAN_SK_Kernen.Crop.Research.Farm.715131_TMYx.2007-2021.zip</v>
      </c>
    </row>
    <row r="1844" spans="1:10" x14ac:dyDescent="0.25">
      <c r="A1844" t="s">
        <v>6</v>
      </c>
      <c r="B1844" t="s">
        <v>58</v>
      </c>
      <c r="C1844" t="s">
        <v>933</v>
      </c>
      <c r="D1844">
        <v>715131</v>
      </c>
      <c r="E1844" t="s">
        <v>244</v>
      </c>
      <c r="F1844">
        <v>51.150120000000001</v>
      </c>
      <c r="G1844">
        <v>-106.54559999999999</v>
      </c>
      <c r="H1844">
        <v>-6</v>
      </c>
      <c r="I1844">
        <v>510</v>
      </c>
      <c r="J1844" t="str">
        <f>HYPERLINK("https://climate.onebuilding.org/WMO_Region_4_North_and_Central_America/CAN_Canada/SK_Saskatchewan/CAN_SK_Kernen.Crop.Research.Farm.715131_TMYx.2009-2023.zip")</f>
        <v>https://climate.onebuilding.org/WMO_Region_4_North_and_Central_America/CAN_Canada/SK_Saskatchewan/CAN_SK_Kernen.Crop.Research.Farm.715131_TMYx.2009-2023.zip</v>
      </c>
    </row>
    <row r="1845" spans="1:10" x14ac:dyDescent="0.25">
      <c r="A1845" t="s">
        <v>6</v>
      </c>
      <c r="B1845" t="s">
        <v>58</v>
      </c>
      <c r="C1845" t="s">
        <v>933</v>
      </c>
      <c r="D1845">
        <v>715131</v>
      </c>
      <c r="E1845" t="s">
        <v>244</v>
      </c>
      <c r="F1845">
        <v>51.150120000000001</v>
      </c>
      <c r="G1845">
        <v>-106.54559999999999</v>
      </c>
      <c r="H1845">
        <v>-6</v>
      </c>
      <c r="I1845">
        <v>510</v>
      </c>
      <c r="J1845" t="str">
        <f>HYPERLINK("https://climate.onebuilding.org/WMO_Region_4_North_and_Central_America/CAN_Canada/SK_Saskatchewan/CAN_SK_Kernen.Crop.Research.Farm.715131_TMYx.zip")</f>
        <v>https://climate.onebuilding.org/WMO_Region_4_North_and_Central_America/CAN_Canada/SK_Saskatchewan/CAN_SK_Kernen.Crop.Research.Farm.715131_TMYx.zip</v>
      </c>
    </row>
    <row r="1846" spans="1:10" x14ac:dyDescent="0.25">
      <c r="A1846" t="s">
        <v>6</v>
      </c>
      <c r="B1846" t="s">
        <v>58</v>
      </c>
      <c r="C1846" t="s">
        <v>934</v>
      </c>
      <c r="D1846">
        <v>715140</v>
      </c>
      <c r="E1846" t="s">
        <v>10</v>
      </c>
      <c r="F1846">
        <v>50.433300000000003</v>
      </c>
      <c r="G1846">
        <v>-104.66670000000001</v>
      </c>
      <c r="H1846">
        <v>-6</v>
      </c>
      <c r="I1846">
        <v>577.29999999999995</v>
      </c>
      <c r="J1846" t="str">
        <f>HYPERLINK("https://climate.onebuilding.org/WMO_Region_4_North_and_Central_America/CAN_Canada/SK_Saskatchewan/CAN_SK_Regina.RCS.715140_TMYx.2007-2021.zip")</f>
        <v>https://climate.onebuilding.org/WMO_Region_4_North_and_Central_America/CAN_Canada/SK_Saskatchewan/CAN_SK_Regina.RCS.715140_TMYx.2007-2021.zip</v>
      </c>
    </row>
    <row r="1847" spans="1:10" x14ac:dyDescent="0.25">
      <c r="A1847" t="s">
        <v>6</v>
      </c>
      <c r="B1847" t="s">
        <v>58</v>
      </c>
      <c r="C1847" t="s">
        <v>934</v>
      </c>
      <c r="D1847">
        <v>715140</v>
      </c>
      <c r="E1847" t="s">
        <v>10</v>
      </c>
      <c r="F1847">
        <v>50.433300000000003</v>
      </c>
      <c r="G1847">
        <v>-104.66670000000001</v>
      </c>
      <c r="H1847">
        <v>-6</v>
      </c>
      <c r="I1847">
        <v>577.29999999999995</v>
      </c>
      <c r="J1847" t="str">
        <f>HYPERLINK("https://climate.onebuilding.org/WMO_Region_4_North_and_Central_America/CAN_Canada/SK_Saskatchewan/CAN_SK_Regina.RCS.715140_TMYx.2009-2023.zip")</f>
        <v>https://climate.onebuilding.org/WMO_Region_4_North_and_Central_America/CAN_Canada/SK_Saskatchewan/CAN_SK_Regina.RCS.715140_TMYx.2009-2023.zip</v>
      </c>
    </row>
    <row r="1848" spans="1:10" x14ac:dyDescent="0.25">
      <c r="A1848" t="s">
        <v>6</v>
      </c>
      <c r="B1848" t="s">
        <v>58</v>
      </c>
      <c r="C1848" t="s">
        <v>934</v>
      </c>
      <c r="D1848">
        <v>715140</v>
      </c>
      <c r="E1848" t="s">
        <v>10</v>
      </c>
      <c r="F1848">
        <v>50.433300000000003</v>
      </c>
      <c r="G1848">
        <v>-104.66670000000001</v>
      </c>
      <c r="H1848">
        <v>-6</v>
      </c>
      <c r="I1848">
        <v>577.29999999999995</v>
      </c>
      <c r="J1848" t="str">
        <f>HYPERLINK("https://climate.onebuilding.org/WMO_Region_4_North_and_Central_America/CAN_Canada/SK_Saskatchewan/CAN_SK_Regina.RCS.715140_TMYx.zip")</f>
        <v>https://climate.onebuilding.org/WMO_Region_4_North_and_Central_America/CAN_Canada/SK_Saskatchewan/CAN_SK_Regina.RCS.715140_TMYx.zip</v>
      </c>
    </row>
    <row r="1849" spans="1:10" x14ac:dyDescent="0.25">
      <c r="A1849" t="s">
        <v>6</v>
      </c>
      <c r="B1849" t="s">
        <v>58</v>
      </c>
      <c r="C1849" t="s">
        <v>935</v>
      </c>
      <c r="D1849">
        <v>715150</v>
      </c>
      <c r="E1849" t="s">
        <v>936</v>
      </c>
      <c r="F1849">
        <v>50.55</v>
      </c>
      <c r="G1849">
        <v>-103.65</v>
      </c>
      <c r="H1849">
        <v>-6</v>
      </c>
      <c r="I1849">
        <v>580.1</v>
      </c>
      <c r="J1849" t="str">
        <f>HYPERLINK("https://climate.onebuilding.org/WMO_Region_4_North_and_Central_America/CAN_Canada/SK_Saskatchewan/CAN_SK_Indian.Head.CDA.715150_TMYx.2004-2018.zip")</f>
        <v>https://climate.onebuilding.org/WMO_Region_4_North_and_Central_America/CAN_Canada/SK_Saskatchewan/CAN_SK_Indian.Head.CDA.715150_TMYx.2004-2018.zip</v>
      </c>
    </row>
    <row r="1850" spans="1:10" x14ac:dyDescent="0.25">
      <c r="A1850" t="s">
        <v>6</v>
      </c>
      <c r="B1850" t="s">
        <v>58</v>
      </c>
      <c r="C1850" t="s">
        <v>935</v>
      </c>
      <c r="D1850">
        <v>715150</v>
      </c>
      <c r="E1850" t="s">
        <v>10</v>
      </c>
      <c r="F1850">
        <v>50.55</v>
      </c>
      <c r="G1850">
        <v>-103.65</v>
      </c>
      <c r="H1850">
        <v>-6</v>
      </c>
      <c r="I1850">
        <v>580.1</v>
      </c>
      <c r="J1850" t="str">
        <f>HYPERLINK("https://climate.onebuilding.org/WMO_Region_4_North_and_Central_America/CAN_Canada/SK_Saskatchewan/CAN_SK_Indian.Head.CDA.715150_TMYx.2007-2021.zip")</f>
        <v>https://climate.onebuilding.org/WMO_Region_4_North_and_Central_America/CAN_Canada/SK_Saskatchewan/CAN_SK_Indian.Head.CDA.715150_TMYx.2007-2021.zip</v>
      </c>
    </row>
    <row r="1851" spans="1:10" x14ac:dyDescent="0.25">
      <c r="A1851" t="s">
        <v>6</v>
      </c>
      <c r="B1851" t="s">
        <v>58</v>
      </c>
      <c r="C1851" t="s">
        <v>935</v>
      </c>
      <c r="D1851">
        <v>715150</v>
      </c>
      <c r="E1851" t="s">
        <v>10</v>
      </c>
      <c r="F1851">
        <v>50.55</v>
      </c>
      <c r="G1851">
        <v>-103.65</v>
      </c>
      <c r="H1851">
        <v>-6</v>
      </c>
      <c r="I1851">
        <v>580.1</v>
      </c>
      <c r="J1851" t="str">
        <f>HYPERLINK("https://climate.onebuilding.org/WMO_Region_4_North_and_Central_America/CAN_Canada/SK_Saskatchewan/CAN_SK_Indian.Head.CDA.715150_TMYx.2009-2023.zip")</f>
        <v>https://climate.onebuilding.org/WMO_Region_4_North_and_Central_America/CAN_Canada/SK_Saskatchewan/CAN_SK_Indian.Head.CDA.715150_TMYx.2009-2023.zip</v>
      </c>
    </row>
    <row r="1852" spans="1:10" x14ac:dyDescent="0.25">
      <c r="A1852" t="s">
        <v>6</v>
      </c>
      <c r="B1852" t="s">
        <v>58</v>
      </c>
      <c r="C1852" t="s">
        <v>935</v>
      </c>
      <c r="D1852">
        <v>715150</v>
      </c>
      <c r="E1852" t="s">
        <v>10</v>
      </c>
      <c r="F1852">
        <v>50.55</v>
      </c>
      <c r="G1852">
        <v>-103.65</v>
      </c>
      <c r="H1852">
        <v>-6</v>
      </c>
      <c r="I1852">
        <v>580.1</v>
      </c>
      <c r="J1852" t="str">
        <f>HYPERLINK("https://climate.onebuilding.org/WMO_Region_4_North_and_Central_America/CAN_Canada/SK_Saskatchewan/CAN_SK_Indian.Head.CDA.715150_TMYx.zip")</f>
        <v>https://climate.onebuilding.org/WMO_Region_4_North_and_Central_America/CAN_Canada/SK_Saskatchewan/CAN_SK_Indian.Head.CDA.715150_TMYx.zip</v>
      </c>
    </row>
    <row r="1853" spans="1:10" x14ac:dyDescent="0.25">
      <c r="A1853" t="s">
        <v>6</v>
      </c>
      <c r="B1853" t="s">
        <v>58</v>
      </c>
      <c r="C1853" t="s">
        <v>937</v>
      </c>
      <c r="D1853">
        <v>715160</v>
      </c>
      <c r="E1853" t="s">
        <v>938</v>
      </c>
      <c r="F1853">
        <v>49.05</v>
      </c>
      <c r="G1853">
        <v>-105.4833</v>
      </c>
      <c r="H1853">
        <v>-6</v>
      </c>
      <c r="I1853">
        <v>756</v>
      </c>
      <c r="J1853" t="str">
        <f>HYPERLINK("https://climate.onebuilding.org/WMO_Region_4_North_and_Central_America/CAN_Canada/SK_Saskatchewan/CAN_SK_Coronach.715160_TMYx.2004-2018.zip")</f>
        <v>https://climate.onebuilding.org/WMO_Region_4_North_and_Central_America/CAN_Canada/SK_Saskatchewan/CAN_SK_Coronach.715160_TMYx.2004-2018.zip</v>
      </c>
    </row>
    <row r="1854" spans="1:10" x14ac:dyDescent="0.25">
      <c r="A1854" t="s">
        <v>6</v>
      </c>
      <c r="B1854" t="s">
        <v>58</v>
      </c>
      <c r="C1854" t="s">
        <v>937</v>
      </c>
      <c r="D1854">
        <v>715160</v>
      </c>
      <c r="E1854" t="s">
        <v>10</v>
      </c>
      <c r="F1854">
        <v>49.05</v>
      </c>
      <c r="G1854">
        <v>-105.4833</v>
      </c>
      <c r="H1854">
        <v>-6</v>
      </c>
      <c r="I1854">
        <v>756</v>
      </c>
      <c r="J1854" t="str">
        <f>HYPERLINK("https://climate.onebuilding.org/WMO_Region_4_North_and_Central_America/CAN_Canada/SK_Saskatchewan/CAN_SK_Coronach.715160_TMYx.2007-2021.zip")</f>
        <v>https://climate.onebuilding.org/WMO_Region_4_North_and_Central_America/CAN_Canada/SK_Saskatchewan/CAN_SK_Coronach.715160_TMYx.2007-2021.zip</v>
      </c>
    </row>
    <row r="1855" spans="1:10" x14ac:dyDescent="0.25">
      <c r="A1855" t="s">
        <v>6</v>
      </c>
      <c r="B1855" t="s">
        <v>58</v>
      </c>
      <c r="C1855" t="s">
        <v>937</v>
      </c>
      <c r="D1855">
        <v>715160</v>
      </c>
      <c r="E1855" t="s">
        <v>10</v>
      </c>
      <c r="F1855">
        <v>49.05</v>
      </c>
      <c r="G1855">
        <v>-105.4833</v>
      </c>
      <c r="H1855">
        <v>-6</v>
      </c>
      <c r="I1855">
        <v>756</v>
      </c>
      <c r="J1855" t="str">
        <f>HYPERLINK("https://climate.onebuilding.org/WMO_Region_4_North_and_Central_America/CAN_Canada/SK_Saskatchewan/CAN_SK_Coronach.715160_TMYx.2009-2023.zip")</f>
        <v>https://climate.onebuilding.org/WMO_Region_4_North_and_Central_America/CAN_Canada/SK_Saskatchewan/CAN_SK_Coronach.715160_TMYx.2009-2023.zip</v>
      </c>
    </row>
    <row r="1856" spans="1:10" x14ac:dyDescent="0.25">
      <c r="A1856" t="s">
        <v>6</v>
      </c>
      <c r="B1856" t="s">
        <v>58</v>
      </c>
      <c r="C1856" t="s">
        <v>937</v>
      </c>
      <c r="D1856">
        <v>715160</v>
      </c>
      <c r="E1856" t="s">
        <v>10</v>
      </c>
      <c r="F1856">
        <v>49.05</v>
      </c>
      <c r="G1856">
        <v>-105.4833</v>
      </c>
      <c r="H1856">
        <v>-6</v>
      </c>
      <c r="I1856">
        <v>756</v>
      </c>
      <c r="J1856" t="str">
        <f>HYPERLINK("https://climate.onebuilding.org/WMO_Region_4_North_and_Central_America/CAN_Canada/SK_Saskatchewan/CAN_SK_Coronach.715160_TMYx.zip")</f>
        <v>https://climate.onebuilding.org/WMO_Region_4_North_and_Central_America/CAN_Canada/SK_Saskatchewan/CAN_SK_Coronach.715160_TMYx.zip</v>
      </c>
    </row>
    <row r="1857" spans="1:10" x14ac:dyDescent="0.25">
      <c r="A1857" t="s">
        <v>6</v>
      </c>
      <c r="B1857" t="s">
        <v>17</v>
      </c>
      <c r="C1857" t="s">
        <v>939</v>
      </c>
      <c r="D1857">
        <v>715170</v>
      </c>
      <c r="E1857" t="s">
        <v>940</v>
      </c>
      <c r="F1857">
        <v>49.566699999999997</v>
      </c>
      <c r="G1857">
        <v>-113.05</v>
      </c>
      <c r="H1857">
        <v>-7</v>
      </c>
      <c r="I1857">
        <v>980</v>
      </c>
      <c r="J1857" t="str">
        <f>HYPERLINK("https://climate.onebuilding.org/WMO_Region_4_North_and_Central_America/CAN_Canada/AB_Alberta/CAN_AB_Blood.Tribe.AgDM.715170_TMYx.2004-2018.zip")</f>
        <v>https://climate.onebuilding.org/WMO_Region_4_North_and_Central_America/CAN_Canada/AB_Alberta/CAN_AB_Blood.Tribe.AgDM.715170_TMYx.2004-2018.zip</v>
      </c>
    </row>
    <row r="1858" spans="1:10" x14ac:dyDescent="0.25">
      <c r="A1858" t="s">
        <v>6</v>
      </c>
      <c r="B1858" t="s">
        <v>17</v>
      </c>
      <c r="C1858" t="s">
        <v>939</v>
      </c>
      <c r="D1858">
        <v>715170</v>
      </c>
      <c r="E1858" t="s">
        <v>10</v>
      </c>
      <c r="F1858">
        <v>49.558799999999998</v>
      </c>
      <c r="G1858">
        <v>-113.0633</v>
      </c>
      <c r="H1858">
        <v>-7</v>
      </c>
      <c r="I1858">
        <v>980</v>
      </c>
      <c r="J1858" t="str">
        <f>HYPERLINK("https://climate.onebuilding.org/WMO_Region_4_North_and_Central_America/CAN_Canada/AB_Alberta/CAN_AB_Blood.Tribe.AgDM.715170_TMYx.2007-2021.zip")</f>
        <v>https://climate.onebuilding.org/WMO_Region_4_North_and_Central_America/CAN_Canada/AB_Alberta/CAN_AB_Blood.Tribe.AgDM.715170_TMYx.2007-2021.zip</v>
      </c>
    </row>
    <row r="1859" spans="1:10" x14ac:dyDescent="0.25">
      <c r="A1859" t="s">
        <v>6</v>
      </c>
      <c r="B1859" t="s">
        <v>17</v>
      </c>
      <c r="C1859" t="s">
        <v>939</v>
      </c>
      <c r="D1859">
        <v>715170</v>
      </c>
      <c r="E1859" t="s">
        <v>10</v>
      </c>
      <c r="F1859">
        <v>49.558799999999998</v>
      </c>
      <c r="G1859">
        <v>-113.0633</v>
      </c>
      <c r="H1859">
        <v>-7</v>
      </c>
      <c r="I1859">
        <v>980</v>
      </c>
      <c r="J1859" t="str">
        <f>HYPERLINK("https://climate.onebuilding.org/WMO_Region_4_North_and_Central_America/CAN_Canada/AB_Alberta/CAN_AB_Blood.Tribe.AgDM.715170_TMYx.2009-2023.zip")</f>
        <v>https://climate.onebuilding.org/WMO_Region_4_North_and_Central_America/CAN_Canada/AB_Alberta/CAN_AB_Blood.Tribe.AgDM.715170_TMYx.2009-2023.zip</v>
      </c>
    </row>
    <row r="1860" spans="1:10" x14ac:dyDescent="0.25">
      <c r="A1860" t="s">
        <v>6</v>
      </c>
      <c r="B1860" t="s">
        <v>17</v>
      </c>
      <c r="C1860" t="s">
        <v>939</v>
      </c>
      <c r="D1860">
        <v>715170</v>
      </c>
      <c r="E1860" t="s">
        <v>10</v>
      </c>
      <c r="F1860">
        <v>49.558799999999998</v>
      </c>
      <c r="G1860">
        <v>-113.0633</v>
      </c>
      <c r="H1860">
        <v>-7</v>
      </c>
      <c r="I1860">
        <v>980</v>
      </c>
      <c r="J1860" t="str">
        <f>HYPERLINK("https://climate.onebuilding.org/WMO_Region_4_North_and_Central_America/CAN_Canada/AB_Alberta/CAN_AB_Blood.Tribe.AgDM.715170_TMYx.zip")</f>
        <v>https://climate.onebuilding.org/WMO_Region_4_North_and_Central_America/CAN_Canada/AB_Alberta/CAN_AB_Blood.Tribe.AgDM.715170_TMYx.zip</v>
      </c>
    </row>
    <row r="1861" spans="1:10" x14ac:dyDescent="0.25">
      <c r="A1861" t="s">
        <v>6</v>
      </c>
      <c r="B1861" t="s">
        <v>17</v>
      </c>
      <c r="C1861" t="s">
        <v>941</v>
      </c>
      <c r="D1861">
        <v>715180</v>
      </c>
      <c r="E1861" t="s">
        <v>942</v>
      </c>
      <c r="F1861">
        <v>50.183300000000003</v>
      </c>
      <c r="G1861">
        <v>-112.4333</v>
      </c>
      <c r="H1861">
        <v>-7</v>
      </c>
      <c r="I1861">
        <v>801</v>
      </c>
      <c r="J1861" t="str">
        <f>HYPERLINK("https://climate.onebuilding.org/WMO_Region_4_North_and_Central_America/CAN_Canada/AB_Alberta/CAN_AB_Enchant.AgDM.715180_TMYx.2004-2018.zip")</f>
        <v>https://climate.onebuilding.org/WMO_Region_4_North_and_Central_America/CAN_Canada/AB_Alberta/CAN_AB_Enchant.AgDM.715180_TMYx.2004-2018.zip</v>
      </c>
    </row>
    <row r="1862" spans="1:10" x14ac:dyDescent="0.25">
      <c r="A1862" t="s">
        <v>6</v>
      </c>
      <c r="B1862" t="s">
        <v>17</v>
      </c>
      <c r="C1862" t="s">
        <v>941</v>
      </c>
      <c r="D1862">
        <v>715180</v>
      </c>
      <c r="E1862" t="s">
        <v>10</v>
      </c>
      <c r="F1862">
        <v>50.171999999999997</v>
      </c>
      <c r="G1862">
        <v>-112.4366</v>
      </c>
      <c r="H1862">
        <v>-7</v>
      </c>
      <c r="I1862">
        <v>801</v>
      </c>
      <c r="J1862" t="str">
        <f>HYPERLINK("https://climate.onebuilding.org/WMO_Region_4_North_and_Central_America/CAN_Canada/AB_Alberta/CAN_AB_Enchant.AgDM.715180_TMYx.2007-2021.zip")</f>
        <v>https://climate.onebuilding.org/WMO_Region_4_North_and_Central_America/CAN_Canada/AB_Alberta/CAN_AB_Enchant.AgDM.715180_TMYx.2007-2021.zip</v>
      </c>
    </row>
    <row r="1863" spans="1:10" x14ac:dyDescent="0.25">
      <c r="A1863" t="s">
        <v>6</v>
      </c>
      <c r="B1863" t="s">
        <v>17</v>
      </c>
      <c r="C1863" t="s">
        <v>941</v>
      </c>
      <c r="D1863">
        <v>715180</v>
      </c>
      <c r="E1863" t="s">
        <v>10</v>
      </c>
      <c r="F1863">
        <v>50.171999999999997</v>
      </c>
      <c r="G1863">
        <v>-112.4366</v>
      </c>
      <c r="H1863">
        <v>-7</v>
      </c>
      <c r="I1863">
        <v>801</v>
      </c>
      <c r="J1863" t="str">
        <f>HYPERLINK("https://climate.onebuilding.org/WMO_Region_4_North_and_Central_America/CAN_Canada/AB_Alberta/CAN_AB_Enchant.AgDM.715180_TMYx.2009-2023.zip")</f>
        <v>https://climate.onebuilding.org/WMO_Region_4_North_and_Central_America/CAN_Canada/AB_Alberta/CAN_AB_Enchant.AgDM.715180_TMYx.2009-2023.zip</v>
      </c>
    </row>
    <row r="1864" spans="1:10" x14ac:dyDescent="0.25">
      <c r="A1864" t="s">
        <v>6</v>
      </c>
      <c r="B1864" t="s">
        <v>17</v>
      </c>
      <c r="C1864" t="s">
        <v>941</v>
      </c>
      <c r="D1864">
        <v>715180</v>
      </c>
      <c r="E1864" t="s">
        <v>10</v>
      </c>
      <c r="F1864">
        <v>50.171999999999997</v>
      </c>
      <c r="G1864">
        <v>-112.4366</v>
      </c>
      <c r="H1864">
        <v>-7</v>
      </c>
      <c r="I1864">
        <v>801</v>
      </c>
      <c r="J1864" t="str">
        <f>HYPERLINK("https://climate.onebuilding.org/WMO_Region_4_North_and_Central_America/CAN_Canada/AB_Alberta/CAN_AB_Enchant.AgDM.715180_TMYx.zip")</f>
        <v>https://climate.onebuilding.org/WMO_Region_4_North_and_Central_America/CAN_Canada/AB_Alberta/CAN_AB_Enchant.AgDM.715180_TMYx.zip</v>
      </c>
    </row>
    <row r="1865" spans="1:10" x14ac:dyDescent="0.25">
      <c r="A1865" t="s">
        <v>6</v>
      </c>
      <c r="B1865" t="s">
        <v>17</v>
      </c>
      <c r="C1865" t="s">
        <v>943</v>
      </c>
      <c r="D1865">
        <v>715190</v>
      </c>
      <c r="E1865" t="s">
        <v>944</v>
      </c>
      <c r="F1865">
        <v>49.866999999999997</v>
      </c>
      <c r="G1865">
        <v>-112.383</v>
      </c>
      <c r="H1865">
        <v>-7</v>
      </c>
      <c r="I1865">
        <v>799</v>
      </c>
      <c r="J1865" t="str">
        <f>HYPERLINK("https://climate.onebuilding.org/WMO_Region_4_North_and_Central_America/CAN_Canada/AB_Alberta/CAN_AB_Bow.Island.Irrigation.AgDM.715190_TMYx.2004-2018.zip")</f>
        <v>https://climate.onebuilding.org/WMO_Region_4_North_and_Central_America/CAN_Canada/AB_Alberta/CAN_AB_Bow.Island.Irrigation.AgDM.715190_TMYx.2004-2018.zip</v>
      </c>
    </row>
    <row r="1866" spans="1:10" x14ac:dyDescent="0.25">
      <c r="A1866" t="s">
        <v>6</v>
      </c>
      <c r="B1866" t="s">
        <v>17</v>
      </c>
      <c r="C1866" t="s">
        <v>943</v>
      </c>
      <c r="D1866">
        <v>715190</v>
      </c>
      <c r="E1866" t="s">
        <v>10</v>
      </c>
      <c r="F1866">
        <v>49.868400000000001</v>
      </c>
      <c r="G1866">
        <v>-111.3664</v>
      </c>
      <c r="H1866">
        <v>-7</v>
      </c>
      <c r="I1866">
        <v>799</v>
      </c>
      <c r="J1866" t="str">
        <f>HYPERLINK("https://climate.onebuilding.org/WMO_Region_4_North_and_Central_America/CAN_Canada/AB_Alberta/CAN_AB_Bow.Island.Irrigation.AgDM.715190_TMYx.2007-2021.zip")</f>
        <v>https://climate.onebuilding.org/WMO_Region_4_North_and_Central_America/CAN_Canada/AB_Alberta/CAN_AB_Bow.Island.Irrigation.AgDM.715190_TMYx.2007-2021.zip</v>
      </c>
    </row>
    <row r="1867" spans="1:10" x14ac:dyDescent="0.25">
      <c r="A1867" t="s">
        <v>6</v>
      </c>
      <c r="B1867" t="s">
        <v>17</v>
      </c>
      <c r="C1867" t="s">
        <v>943</v>
      </c>
      <c r="D1867">
        <v>715190</v>
      </c>
      <c r="E1867" t="s">
        <v>10</v>
      </c>
      <c r="F1867">
        <v>49.868400000000001</v>
      </c>
      <c r="G1867">
        <v>-111.3664</v>
      </c>
      <c r="H1867">
        <v>-7</v>
      </c>
      <c r="I1867">
        <v>799</v>
      </c>
      <c r="J1867" t="str">
        <f>HYPERLINK("https://climate.onebuilding.org/WMO_Region_4_North_and_Central_America/CAN_Canada/AB_Alberta/CAN_AB_Bow.Island.Irrigation.AgDM.715190_TMYx.2009-2023.zip")</f>
        <v>https://climate.onebuilding.org/WMO_Region_4_North_and_Central_America/CAN_Canada/AB_Alberta/CAN_AB_Bow.Island.Irrigation.AgDM.715190_TMYx.2009-2023.zip</v>
      </c>
    </row>
    <row r="1868" spans="1:10" x14ac:dyDescent="0.25">
      <c r="A1868" t="s">
        <v>6</v>
      </c>
      <c r="B1868" t="s">
        <v>17</v>
      </c>
      <c r="C1868" t="s">
        <v>943</v>
      </c>
      <c r="D1868">
        <v>715190</v>
      </c>
      <c r="E1868" t="s">
        <v>10</v>
      </c>
      <c r="F1868">
        <v>49.868400000000001</v>
      </c>
      <c r="G1868">
        <v>-111.3664</v>
      </c>
      <c r="H1868">
        <v>-7</v>
      </c>
      <c r="I1868">
        <v>799</v>
      </c>
      <c r="J1868" t="str">
        <f>HYPERLINK("https://climate.onebuilding.org/WMO_Region_4_North_and_Central_America/CAN_Canada/AB_Alberta/CAN_AB_Bow.Island.Irrigation.AgDM.715190_TMYx.zip")</f>
        <v>https://climate.onebuilding.org/WMO_Region_4_North_and_Central_America/CAN_Canada/AB_Alberta/CAN_AB_Bow.Island.Irrigation.AgDM.715190_TMYx.zip</v>
      </c>
    </row>
    <row r="1869" spans="1:10" x14ac:dyDescent="0.25">
      <c r="A1869" t="s">
        <v>6</v>
      </c>
      <c r="B1869" t="s">
        <v>14</v>
      </c>
      <c r="C1869" t="s">
        <v>945</v>
      </c>
      <c r="D1869">
        <v>715200</v>
      </c>
      <c r="E1869" t="s">
        <v>946</v>
      </c>
      <c r="F1869">
        <v>51.532499999999999</v>
      </c>
      <c r="G1869">
        <v>-71.110799999999998</v>
      </c>
      <c r="H1869">
        <v>-5</v>
      </c>
      <c r="I1869">
        <v>549</v>
      </c>
      <c r="J1869" t="str">
        <f>HYPERLINK("https://climate.onebuilding.org/WMO_Region_4_North_and_Central_America/CAN_Canada/QC_Quebec/CAN_QC_Lac.Benoit.715200_TMYx.2004-2018.zip")</f>
        <v>https://climate.onebuilding.org/WMO_Region_4_North_and_Central_America/CAN_Canada/QC_Quebec/CAN_QC_Lac.Benoit.715200_TMYx.2004-2018.zip</v>
      </c>
    </row>
    <row r="1870" spans="1:10" x14ac:dyDescent="0.25">
      <c r="A1870" t="s">
        <v>6</v>
      </c>
      <c r="B1870" t="s">
        <v>14</v>
      </c>
      <c r="C1870" t="s">
        <v>945</v>
      </c>
      <c r="D1870">
        <v>715200</v>
      </c>
      <c r="E1870" t="s">
        <v>10</v>
      </c>
      <c r="F1870">
        <v>51.532499999999999</v>
      </c>
      <c r="G1870">
        <v>-71.110799999999998</v>
      </c>
      <c r="H1870">
        <v>-5</v>
      </c>
      <c r="I1870">
        <v>549</v>
      </c>
      <c r="J1870" t="str">
        <f>HYPERLINK("https://climate.onebuilding.org/WMO_Region_4_North_and_Central_America/CAN_Canada/QC_Quebec/CAN_QC_Lac.Benoit.715200_TMYx.2007-2021.zip")</f>
        <v>https://climate.onebuilding.org/WMO_Region_4_North_and_Central_America/CAN_Canada/QC_Quebec/CAN_QC_Lac.Benoit.715200_TMYx.2007-2021.zip</v>
      </c>
    </row>
    <row r="1871" spans="1:10" x14ac:dyDescent="0.25">
      <c r="A1871" t="s">
        <v>6</v>
      </c>
      <c r="B1871" t="s">
        <v>14</v>
      </c>
      <c r="C1871" t="s">
        <v>945</v>
      </c>
      <c r="D1871">
        <v>715200</v>
      </c>
      <c r="E1871" t="s">
        <v>10</v>
      </c>
      <c r="F1871">
        <v>51.532499999999999</v>
      </c>
      <c r="G1871">
        <v>-71.110799999999998</v>
      </c>
      <c r="H1871">
        <v>-5</v>
      </c>
      <c r="I1871">
        <v>549</v>
      </c>
      <c r="J1871" t="str">
        <f>HYPERLINK("https://climate.onebuilding.org/WMO_Region_4_North_and_Central_America/CAN_Canada/QC_Quebec/CAN_QC_Lac.Benoit.715200_TMYx.2009-2023.zip")</f>
        <v>https://climate.onebuilding.org/WMO_Region_4_North_and_Central_America/CAN_Canada/QC_Quebec/CAN_QC_Lac.Benoit.715200_TMYx.2009-2023.zip</v>
      </c>
    </row>
    <row r="1872" spans="1:10" x14ac:dyDescent="0.25">
      <c r="A1872" t="s">
        <v>6</v>
      </c>
      <c r="B1872" t="s">
        <v>14</v>
      </c>
      <c r="C1872" t="s">
        <v>945</v>
      </c>
      <c r="D1872">
        <v>715200</v>
      </c>
      <c r="E1872" t="s">
        <v>10</v>
      </c>
      <c r="F1872">
        <v>51.532499999999999</v>
      </c>
      <c r="G1872">
        <v>-71.110799999999998</v>
      </c>
      <c r="H1872">
        <v>-5</v>
      </c>
      <c r="I1872">
        <v>549</v>
      </c>
      <c r="J1872" t="str">
        <f>HYPERLINK("https://climate.onebuilding.org/WMO_Region_4_North_and_Central_America/CAN_Canada/QC_Quebec/CAN_QC_Lac.Benoit.715200_TMYx.zip")</f>
        <v>https://climate.onebuilding.org/WMO_Region_4_North_and_Central_America/CAN_Canada/QC_Quebec/CAN_QC_Lac.Benoit.715200_TMYx.zip</v>
      </c>
    </row>
    <row r="1873" spans="1:10" x14ac:dyDescent="0.25">
      <c r="A1873" t="s">
        <v>6</v>
      </c>
      <c r="B1873" t="s">
        <v>14</v>
      </c>
      <c r="C1873" t="s">
        <v>947</v>
      </c>
      <c r="D1873">
        <v>715210</v>
      </c>
      <c r="E1873" t="s">
        <v>948</v>
      </c>
      <c r="F1873">
        <v>50.65</v>
      </c>
      <c r="G1873">
        <v>-70.516999999999996</v>
      </c>
      <c r="H1873">
        <v>-5</v>
      </c>
      <c r="I1873">
        <v>497</v>
      </c>
      <c r="J1873" t="str">
        <f>HYPERLINK("https://climate.onebuilding.org/WMO_Region_4_North_and_Central_America/CAN_Canada/QC_Quebec/CAN_QC_Manouane.Est.715210_TMYx.2004-2018.zip")</f>
        <v>https://climate.onebuilding.org/WMO_Region_4_North_and_Central_America/CAN_Canada/QC_Quebec/CAN_QC_Manouane.Est.715210_TMYx.2004-2018.zip</v>
      </c>
    </row>
    <row r="1874" spans="1:10" x14ac:dyDescent="0.25">
      <c r="A1874" t="s">
        <v>6</v>
      </c>
      <c r="B1874" t="s">
        <v>14</v>
      </c>
      <c r="C1874" t="s">
        <v>947</v>
      </c>
      <c r="D1874">
        <v>715210</v>
      </c>
      <c r="E1874" t="s">
        <v>10</v>
      </c>
      <c r="F1874">
        <v>50.656390000000002</v>
      </c>
      <c r="G1874">
        <v>-70.531940000000006</v>
      </c>
      <c r="H1874">
        <v>-5</v>
      </c>
      <c r="I1874">
        <v>497</v>
      </c>
      <c r="J1874" t="str">
        <f>HYPERLINK("https://climate.onebuilding.org/WMO_Region_4_North_and_Central_America/CAN_Canada/QC_Quebec/CAN_QC_Manouane.Est.715210_TMYx.2007-2021.zip")</f>
        <v>https://climate.onebuilding.org/WMO_Region_4_North_and_Central_America/CAN_Canada/QC_Quebec/CAN_QC_Manouane.Est.715210_TMYx.2007-2021.zip</v>
      </c>
    </row>
    <row r="1875" spans="1:10" x14ac:dyDescent="0.25">
      <c r="A1875" t="s">
        <v>6</v>
      </c>
      <c r="B1875" t="s">
        <v>14</v>
      </c>
      <c r="C1875" t="s">
        <v>947</v>
      </c>
      <c r="D1875">
        <v>715210</v>
      </c>
      <c r="E1875" t="s">
        <v>10</v>
      </c>
      <c r="F1875">
        <v>50.656390000000002</v>
      </c>
      <c r="G1875">
        <v>-70.531940000000006</v>
      </c>
      <c r="H1875">
        <v>-5</v>
      </c>
      <c r="I1875">
        <v>497</v>
      </c>
      <c r="J1875" t="str">
        <f>HYPERLINK("https://climate.onebuilding.org/WMO_Region_4_North_and_Central_America/CAN_Canada/QC_Quebec/CAN_QC_Manouane.Est.715210_TMYx.2009-2023.zip")</f>
        <v>https://climate.onebuilding.org/WMO_Region_4_North_and_Central_America/CAN_Canada/QC_Quebec/CAN_QC_Manouane.Est.715210_TMYx.2009-2023.zip</v>
      </c>
    </row>
    <row r="1876" spans="1:10" x14ac:dyDescent="0.25">
      <c r="A1876" t="s">
        <v>6</v>
      </c>
      <c r="B1876" t="s">
        <v>14</v>
      </c>
      <c r="C1876" t="s">
        <v>947</v>
      </c>
      <c r="D1876">
        <v>715210</v>
      </c>
      <c r="E1876" t="s">
        <v>10</v>
      </c>
      <c r="F1876">
        <v>50.656390000000002</v>
      </c>
      <c r="G1876">
        <v>-70.531940000000006</v>
      </c>
      <c r="H1876">
        <v>-5</v>
      </c>
      <c r="I1876">
        <v>497</v>
      </c>
      <c r="J1876" t="str">
        <f>HYPERLINK("https://climate.onebuilding.org/WMO_Region_4_North_and_Central_America/CAN_Canada/QC_Quebec/CAN_QC_Manouane.Est.715210_TMYx.zip")</f>
        <v>https://climate.onebuilding.org/WMO_Region_4_North_and_Central_America/CAN_Canada/QC_Quebec/CAN_QC_Manouane.Est.715210_TMYx.zip</v>
      </c>
    </row>
    <row r="1877" spans="1:10" x14ac:dyDescent="0.25">
      <c r="A1877" t="s">
        <v>6</v>
      </c>
      <c r="B1877" t="s">
        <v>14</v>
      </c>
      <c r="C1877" t="s">
        <v>949</v>
      </c>
      <c r="D1877">
        <v>715220</v>
      </c>
      <c r="E1877" t="s">
        <v>950</v>
      </c>
      <c r="F1877">
        <v>49.840299999999999</v>
      </c>
      <c r="G1877">
        <v>-71.168300000000002</v>
      </c>
      <c r="H1877">
        <v>-5</v>
      </c>
      <c r="I1877">
        <v>398.2</v>
      </c>
      <c r="J1877" t="str">
        <f>HYPERLINK("https://climate.onebuilding.org/WMO_Region_4_North_and_Central_America/CAN_Canada/QC_Quebec/CAN_QC_Chutes-des-Passes.715220_TMYx.2004-2018.zip")</f>
        <v>https://climate.onebuilding.org/WMO_Region_4_North_and_Central_America/CAN_Canada/QC_Quebec/CAN_QC_Chutes-des-Passes.715220_TMYx.2004-2018.zip</v>
      </c>
    </row>
    <row r="1878" spans="1:10" x14ac:dyDescent="0.25">
      <c r="A1878" t="s">
        <v>6</v>
      </c>
      <c r="B1878" t="s">
        <v>14</v>
      </c>
      <c r="C1878" t="s">
        <v>949</v>
      </c>
      <c r="D1878">
        <v>715220</v>
      </c>
      <c r="E1878" t="s">
        <v>10</v>
      </c>
      <c r="F1878">
        <v>49.84</v>
      </c>
      <c r="G1878">
        <v>-71.168000000000006</v>
      </c>
      <c r="H1878">
        <v>-5</v>
      </c>
      <c r="I1878">
        <v>398.2</v>
      </c>
      <c r="J1878" t="str">
        <f>HYPERLINK("https://climate.onebuilding.org/WMO_Region_4_North_and_Central_America/CAN_Canada/QC_Quebec/CAN_QC_Chutes-des-Passes.715220_TMYx.2007-2021.zip")</f>
        <v>https://climate.onebuilding.org/WMO_Region_4_North_and_Central_America/CAN_Canada/QC_Quebec/CAN_QC_Chutes-des-Passes.715220_TMYx.2007-2021.zip</v>
      </c>
    </row>
    <row r="1879" spans="1:10" x14ac:dyDescent="0.25">
      <c r="A1879" t="s">
        <v>6</v>
      </c>
      <c r="B1879" t="s">
        <v>14</v>
      </c>
      <c r="C1879" t="s">
        <v>949</v>
      </c>
      <c r="D1879">
        <v>715220</v>
      </c>
      <c r="E1879" t="s">
        <v>10</v>
      </c>
      <c r="F1879">
        <v>49.84</v>
      </c>
      <c r="G1879">
        <v>-71.168000000000006</v>
      </c>
      <c r="H1879">
        <v>-5</v>
      </c>
      <c r="I1879">
        <v>398.2</v>
      </c>
      <c r="J1879" t="str">
        <f>HYPERLINK("https://climate.onebuilding.org/WMO_Region_4_North_and_Central_America/CAN_Canada/QC_Quebec/CAN_QC_Chutes-des-Passes.715220_TMYx.2009-2023.zip")</f>
        <v>https://climate.onebuilding.org/WMO_Region_4_North_and_Central_America/CAN_Canada/QC_Quebec/CAN_QC_Chutes-des-Passes.715220_TMYx.2009-2023.zip</v>
      </c>
    </row>
    <row r="1880" spans="1:10" x14ac:dyDescent="0.25">
      <c r="A1880" t="s">
        <v>6</v>
      </c>
      <c r="B1880" t="s">
        <v>14</v>
      </c>
      <c r="C1880" t="s">
        <v>949</v>
      </c>
      <c r="D1880">
        <v>715220</v>
      </c>
      <c r="E1880" t="s">
        <v>10</v>
      </c>
      <c r="F1880">
        <v>49.84</v>
      </c>
      <c r="G1880">
        <v>-71.168000000000006</v>
      </c>
      <c r="H1880">
        <v>-5</v>
      </c>
      <c r="I1880">
        <v>398.2</v>
      </c>
      <c r="J1880" t="str">
        <f>HYPERLINK("https://climate.onebuilding.org/WMO_Region_4_North_and_Central_America/CAN_Canada/QC_Quebec/CAN_QC_Chutes-des-Passes.715220_TMYx.zip")</f>
        <v>https://climate.onebuilding.org/WMO_Region_4_North_and_Central_America/CAN_Canada/QC_Quebec/CAN_QC_Chutes-des-Passes.715220_TMYx.zip</v>
      </c>
    </row>
    <row r="1881" spans="1:10" x14ac:dyDescent="0.25">
      <c r="A1881" t="s">
        <v>6</v>
      </c>
      <c r="B1881" t="s">
        <v>14</v>
      </c>
      <c r="C1881" t="s">
        <v>951</v>
      </c>
      <c r="D1881">
        <v>715230</v>
      </c>
      <c r="E1881" t="s">
        <v>952</v>
      </c>
      <c r="F1881">
        <v>49.267000000000003</v>
      </c>
      <c r="G1881">
        <v>-73.349999999999994</v>
      </c>
      <c r="H1881">
        <v>-5</v>
      </c>
      <c r="I1881">
        <v>304</v>
      </c>
      <c r="J1881" t="str">
        <f>HYPERLINK("https://climate.onebuilding.org/WMO_Region_4_North_and_Central_America/CAN_Canada/QC_Quebec/CAN_QC_Chamouchouane.715230_TMYx.2004-2018.zip")</f>
        <v>https://climate.onebuilding.org/WMO_Region_4_North_and_Central_America/CAN_Canada/QC_Quebec/CAN_QC_Chamouchouane.715230_TMYx.2004-2018.zip</v>
      </c>
    </row>
    <row r="1882" spans="1:10" x14ac:dyDescent="0.25">
      <c r="A1882" t="s">
        <v>6</v>
      </c>
      <c r="B1882" t="s">
        <v>14</v>
      </c>
      <c r="C1882" t="s">
        <v>951</v>
      </c>
      <c r="D1882">
        <v>715230</v>
      </c>
      <c r="E1882" t="s">
        <v>10</v>
      </c>
      <c r="F1882">
        <v>49.278329999999997</v>
      </c>
      <c r="G1882">
        <v>-73.355829999999997</v>
      </c>
      <c r="H1882">
        <v>-5</v>
      </c>
      <c r="I1882">
        <v>304</v>
      </c>
      <c r="J1882" t="str">
        <f>HYPERLINK("https://climate.onebuilding.org/WMO_Region_4_North_and_Central_America/CAN_Canada/QC_Quebec/CAN_QC_Chamouchouane.715230_TMYx.2007-2021.zip")</f>
        <v>https://climate.onebuilding.org/WMO_Region_4_North_and_Central_America/CAN_Canada/QC_Quebec/CAN_QC_Chamouchouane.715230_TMYx.2007-2021.zip</v>
      </c>
    </row>
    <row r="1883" spans="1:10" x14ac:dyDescent="0.25">
      <c r="A1883" t="s">
        <v>6</v>
      </c>
      <c r="B1883" t="s">
        <v>14</v>
      </c>
      <c r="C1883" t="s">
        <v>951</v>
      </c>
      <c r="D1883">
        <v>715230</v>
      </c>
      <c r="E1883" t="s">
        <v>10</v>
      </c>
      <c r="F1883">
        <v>49.278329999999997</v>
      </c>
      <c r="G1883">
        <v>-73.355829999999997</v>
      </c>
      <c r="H1883">
        <v>-5</v>
      </c>
      <c r="I1883">
        <v>304</v>
      </c>
      <c r="J1883" t="str">
        <f>HYPERLINK("https://climate.onebuilding.org/WMO_Region_4_North_and_Central_America/CAN_Canada/QC_Quebec/CAN_QC_Chamouchouane.715230_TMYx.2009-2023.zip")</f>
        <v>https://climate.onebuilding.org/WMO_Region_4_North_and_Central_America/CAN_Canada/QC_Quebec/CAN_QC_Chamouchouane.715230_TMYx.2009-2023.zip</v>
      </c>
    </row>
    <row r="1884" spans="1:10" x14ac:dyDescent="0.25">
      <c r="A1884" t="s">
        <v>6</v>
      </c>
      <c r="B1884" t="s">
        <v>14</v>
      </c>
      <c r="C1884" t="s">
        <v>951</v>
      </c>
      <c r="D1884">
        <v>715230</v>
      </c>
      <c r="E1884" t="s">
        <v>10</v>
      </c>
      <c r="F1884">
        <v>49.278329999999997</v>
      </c>
      <c r="G1884">
        <v>-73.355829999999997</v>
      </c>
      <c r="H1884">
        <v>-5</v>
      </c>
      <c r="I1884">
        <v>304</v>
      </c>
      <c r="J1884" t="str">
        <f>HYPERLINK("https://climate.onebuilding.org/WMO_Region_4_North_and_Central_America/CAN_Canada/QC_Quebec/CAN_QC_Chamouchouane.715230_TMYx.zip")</f>
        <v>https://climate.onebuilding.org/WMO_Region_4_North_and_Central_America/CAN_Canada/QC_Quebec/CAN_QC_Chamouchouane.715230_TMYx.zip</v>
      </c>
    </row>
    <row r="1885" spans="1:10" x14ac:dyDescent="0.25">
      <c r="A1885" t="s">
        <v>6</v>
      </c>
      <c r="B1885" t="s">
        <v>14</v>
      </c>
      <c r="C1885" t="s">
        <v>953</v>
      </c>
      <c r="D1885">
        <v>715240</v>
      </c>
      <c r="E1885" t="s">
        <v>954</v>
      </c>
      <c r="F1885">
        <v>45.809399999999997</v>
      </c>
      <c r="G1885">
        <v>-73.434700000000007</v>
      </c>
      <c r="H1885">
        <v>-5</v>
      </c>
      <c r="I1885">
        <v>21</v>
      </c>
      <c r="J1885" t="str">
        <f>HYPERLINK("https://climate.onebuilding.org/WMO_Region_4_North_and_Central_America/CAN_Canada/QC_Quebec/CAN_QC_L-Assomption.715240_TMYx.2004-2018.zip")</f>
        <v>https://climate.onebuilding.org/WMO_Region_4_North_and_Central_America/CAN_Canada/QC_Quebec/CAN_QC_L-Assomption.715240_TMYx.2004-2018.zip</v>
      </c>
    </row>
    <row r="1886" spans="1:10" x14ac:dyDescent="0.25">
      <c r="A1886" t="s">
        <v>6</v>
      </c>
      <c r="B1886" t="s">
        <v>14</v>
      </c>
      <c r="C1886" t="s">
        <v>953</v>
      </c>
      <c r="D1886">
        <v>715240</v>
      </c>
      <c r="E1886" t="s">
        <v>10</v>
      </c>
      <c r="F1886">
        <v>45.809399999999997</v>
      </c>
      <c r="G1886">
        <v>-73.434700000000007</v>
      </c>
      <c r="H1886">
        <v>-5</v>
      </c>
      <c r="I1886">
        <v>21</v>
      </c>
      <c r="J1886" t="str">
        <f>HYPERLINK("https://climate.onebuilding.org/WMO_Region_4_North_and_Central_America/CAN_Canada/QC_Quebec/CAN_QC_L-Assomption.715240_TMYx.2007-2021.zip")</f>
        <v>https://climate.onebuilding.org/WMO_Region_4_North_and_Central_America/CAN_Canada/QC_Quebec/CAN_QC_L-Assomption.715240_TMYx.2007-2021.zip</v>
      </c>
    </row>
    <row r="1887" spans="1:10" x14ac:dyDescent="0.25">
      <c r="A1887" t="s">
        <v>6</v>
      </c>
      <c r="B1887" t="s">
        <v>14</v>
      </c>
      <c r="C1887" t="s">
        <v>953</v>
      </c>
      <c r="D1887">
        <v>715240</v>
      </c>
      <c r="E1887" t="s">
        <v>10</v>
      </c>
      <c r="F1887">
        <v>45.809399999999997</v>
      </c>
      <c r="G1887">
        <v>-73.434700000000007</v>
      </c>
      <c r="H1887">
        <v>-5</v>
      </c>
      <c r="I1887">
        <v>21</v>
      </c>
      <c r="J1887" t="str">
        <f>HYPERLINK("https://climate.onebuilding.org/WMO_Region_4_North_and_Central_America/CAN_Canada/QC_Quebec/CAN_QC_L-Assomption.715240_TMYx.2009-2023.zip")</f>
        <v>https://climate.onebuilding.org/WMO_Region_4_North_and_Central_America/CAN_Canada/QC_Quebec/CAN_QC_L-Assomption.715240_TMYx.2009-2023.zip</v>
      </c>
    </row>
    <row r="1888" spans="1:10" x14ac:dyDescent="0.25">
      <c r="A1888" t="s">
        <v>6</v>
      </c>
      <c r="B1888" t="s">
        <v>14</v>
      </c>
      <c r="C1888" t="s">
        <v>953</v>
      </c>
      <c r="D1888">
        <v>715240</v>
      </c>
      <c r="E1888" t="s">
        <v>10</v>
      </c>
      <c r="F1888">
        <v>45.809399999999997</v>
      </c>
      <c r="G1888">
        <v>-73.434700000000007</v>
      </c>
      <c r="H1888">
        <v>-5</v>
      </c>
      <c r="I1888">
        <v>21</v>
      </c>
      <c r="J1888" t="str">
        <f>HYPERLINK("https://climate.onebuilding.org/WMO_Region_4_North_and_Central_America/CAN_Canada/QC_Quebec/CAN_QC_L-Assomption.715240_TMYx.zip")</f>
        <v>https://climate.onebuilding.org/WMO_Region_4_North_and_Central_America/CAN_Canada/QC_Quebec/CAN_QC_L-Assomption.715240_TMYx.zip</v>
      </c>
    </row>
    <row r="1889" spans="1:10" x14ac:dyDescent="0.25">
      <c r="A1889" t="s">
        <v>6</v>
      </c>
      <c r="B1889" t="s">
        <v>17</v>
      </c>
      <c r="C1889" t="s">
        <v>955</v>
      </c>
      <c r="D1889">
        <v>715250</v>
      </c>
      <c r="E1889" t="s">
        <v>956</v>
      </c>
      <c r="F1889">
        <v>49.916699999999999</v>
      </c>
      <c r="G1889">
        <v>-110.91670000000001</v>
      </c>
      <c r="H1889">
        <v>-7</v>
      </c>
      <c r="I1889">
        <v>766</v>
      </c>
      <c r="J1889" t="str">
        <f>HYPERLINK("https://climate.onebuilding.org/WMO_Region_4_North_and_Central_America/CAN_Canada/AB_Alberta/CAN_AB_Seven.Persons.AgDM.715250_TMYx.2004-2018.zip")</f>
        <v>https://climate.onebuilding.org/WMO_Region_4_North_and_Central_America/CAN_Canada/AB_Alberta/CAN_AB_Seven.Persons.AgDM.715250_TMYx.2004-2018.zip</v>
      </c>
    </row>
    <row r="1890" spans="1:10" x14ac:dyDescent="0.25">
      <c r="A1890" t="s">
        <v>6</v>
      </c>
      <c r="B1890" t="s">
        <v>17</v>
      </c>
      <c r="C1890" t="s">
        <v>955</v>
      </c>
      <c r="D1890">
        <v>715250</v>
      </c>
      <c r="E1890" t="s">
        <v>10</v>
      </c>
      <c r="F1890">
        <v>49.916699999999999</v>
      </c>
      <c r="G1890">
        <v>-110.91670000000001</v>
      </c>
      <c r="H1890">
        <v>-7</v>
      </c>
      <c r="I1890">
        <v>766</v>
      </c>
      <c r="J1890" t="str">
        <f>HYPERLINK("https://climate.onebuilding.org/WMO_Region_4_North_and_Central_America/CAN_Canada/AB_Alberta/CAN_AB_Seven.Persons.AgDM.715250_TMYx.2007-2021.zip")</f>
        <v>https://climate.onebuilding.org/WMO_Region_4_North_and_Central_America/CAN_Canada/AB_Alberta/CAN_AB_Seven.Persons.AgDM.715250_TMYx.2007-2021.zip</v>
      </c>
    </row>
    <row r="1891" spans="1:10" x14ac:dyDescent="0.25">
      <c r="A1891" t="s">
        <v>6</v>
      </c>
      <c r="B1891" t="s">
        <v>17</v>
      </c>
      <c r="C1891" t="s">
        <v>955</v>
      </c>
      <c r="D1891">
        <v>715250</v>
      </c>
      <c r="E1891" t="s">
        <v>10</v>
      </c>
      <c r="F1891">
        <v>49.916699999999999</v>
      </c>
      <c r="G1891">
        <v>-110.91670000000001</v>
      </c>
      <c r="H1891">
        <v>-7</v>
      </c>
      <c r="I1891">
        <v>766</v>
      </c>
      <c r="J1891" t="str">
        <f>HYPERLINK("https://climate.onebuilding.org/WMO_Region_4_North_and_Central_America/CAN_Canada/AB_Alberta/CAN_AB_Seven.Persons.AgDM.715250_TMYx.2009-2023.zip")</f>
        <v>https://climate.onebuilding.org/WMO_Region_4_North_and_Central_America/CAN_Canada/AB_Alberta/CAN_AB_Seven.Persons.AgDM.715250_TMYx.2009-2023.zip</v>
      </c>
    </row>
    <row r="1892" spans="1:10" x14ac:dyDescent="0.25">
      <c r="A1892" t="s">
        <v>6</v>
      </c>
      <c r="B1892" t="s">
        <v>17</v>
      </c>
      <c r="C1892" t="s">
        <v>955</v>
      </c>
      <c r="D1892">
        <v>715250</v>
      </c>
      <c r="E1892" t="s">
        <v>10</v>
      </c>
      <c r="F1892">
        <v>49.916699999999999</v>
      </c>
      <c r="G1892">
        <v>-110.91670000000001</v>
      </c>
      <c r="H1892">
        <v>-7</v>
      </c>
      <c r="I1892">
        <v>766</v>
      </c>
      <c r="J1892" t="str">
        <f>HYPERLINK("https://climate.onebuilding.org/WMO_Region_4_North_and_Central_America/CAN_Canada/AB_Alberta/CAN_AB_Seven.Persons.AgDM.715250_TMYx.zip")</f>
        <v>https://climate.onebuilding.org/WMO_Region_4_North_and_Central_America/CAN_Canada/AB_Alberta/CAN_AB_Seven.Persons.AgDM.715250_TMYx.zip</v>
      </c>
    </row>
    <row r="1893" spans="1:10" x14ac:dyDescent="0.25">
      <c r="A1893" t="s">
        <v>6</v>
      </c>
      <c r="B1893" t="s">
        <v>17</v>
      </c>
      <c r="C1893" t="s">
        <v>957</v>
      </c>
      <c r="D1893">
        <v>715260</v>
      </c>
      <c r="E1893" t="s">
        <v>958</v>
      </c>
      <c r="F1893">
        <v>51.033299999999997</v>
      </c>
      <c r="G1893">
        <v>-113.2833</v>
      </c>
      <c r="H1893">
        <v>-7</v>
      </c>
      <c r="I1893">
        <v>967</v>
      </c>
      <c r="J1893" t="str">
        <f>HYPERLINK("https://climate.onebuilding.org/WMO_Region_4_North_and_Central_America/CAN_Canada/AB_Alberta/CAN_AB_Strathmore.AgDM.715260_TMYx.2004-2018.zip")</f>
        <v>https://climate.onebuilding.org/WMO_Region_4_North_and_Central_America/CAN_Canada/AB_Alberta/CAN_AB_Strathmore.AgDM.715260_TMYx.2004-2018.zip</v>
      </c>
    </row>
    <row r="1894" spans="1:10" x14ac:dyDescent="0.25">
      <c r="A1894" t="s">
        <v>6</v>
      </c>
      <c r="B1894" t="s">
        <v>17</v>
      </c>
      <c r="C1894" t="s">
        <v>957</v>
      </c>
      <c r="D1894">
        <v>715260</v>
      </c>
      <c r="E1894" t="s">
        <v>10</v>
      </c>
      <c r="F1894">
        <v>51.038699999999999</v>
      </c>
      <c r="G1894">
        <v>-113.2897</v>
      </c>
      <c r="H1894">
        <v>-7</v>
      </c>
      <c r="I1894">
        <v>967</v>
      </c>
      <c r="J1894" t="str">
        <f>HYPERLINK("https://climate.onebuilding.org/WMO_Region_4_North_and_Central_America/CAN_Canada/AB_Alberta/CAN_AB_Strathmore.AgDM.715260_TMYx.2007-2021.zip")</f>
        <v>https://climate.onebuilding.org/WMO_Region_4_North_and_Central_America/CAN_Canada/AB_Alberta/CAN_AB_Strathmore.AgDM.715260_TMYx.2007-2021.zip</v>
      </c>
    </row>
    <row r="1895" spans="1:10" x14ac:dyDescent="0.25">
      <c r="A1895" t="s">
        <v>6</v>
      </c>
      <c r="B1895" t="s">
        <v>17</v>
      </c>
      <c r="C1895" t="s">
        <v>957</v>
      </c>
      <c r="D1895">
        <v>715260</v>
      </c>
      <c r="E1895" t="s">
        <v>10</v>
      </c>
      <c r="F1895">
        <v>51.038699999999999</v>
      </c>
      <c r="G1895">
        <v>-113.2897</v>
      </c>
      <c r="H1895">
        <v>-7</v>
      </c>
      <c r="I1895">
        <v>967</v>
      </c>
      <c r="J1895" t="str">
        <f>HYPERLINK("https://climate.onebuilding.org/WMO_Region_4_North_and_Central_America/CAN_Canada/AB_Alberta/CAN_AB_Strathmore.AgDM.715260_TMYx.2009-2023.zip")</f>
        <v>https://climate.onebuilding.org/WMO_Region_4_North_and_Central_America/CAN_Canada/AB_Alberta/CAN_AB_Strathmore.AgDM.715260_TMYx.2009-2023.zip</v>
      </c>
    </row>
    <row r="1896" spans="1:10" x14ac:dyDescent="0.25">
      <c r="A1896" t="s">
        <v>6</v>
      </c>
      <c r="B1896" t="s">
        <v>17</v>
      </c>
      <c r="C1896" t="s">
        <v>957</v>
      </c>
      <c r="D1896">
        <v>715260</v>
      </c>
      <c r="E1896" t="s">
        <v>10</v>
      </c>
      <c r="F1896">
        <v>51.038699999999999</v>
      </c>
      <c r="G1896">
        <v>-113.2897</v>
      </c>
      <c r="H1896">
        <v>-7</v>
      </c>
      <c r="I1896">
        <v>967</v>
      </c>
      <c r="J1896" t="str">
        <f>HYPERLINK("https://climate.onebuilding.org/WMO_Region_4_North_and_Central_America/CAN_Canada/AB_Alberta/CAN_AB_Strathmore.AgDM.715260_TMYx.zip")</f>
        <v>https://climate.onebuilding.org/WMO_Region_4_North_and_Central_America/CAN_Canada/AB_Alberta/CAN_AB_Strathmore.AgDM.715260_TMYx.zip</v>
      </c>
    </row>
    <row r="1897" spans="1:10" x14ac:dyDescent="0.25">
      <c r="A1897" t="s">
        <v>6</v>
      </c>
      <c r="B1897" t="s">
        <v>130</v>
      </c>
      <c r="C1897" t="s">
        <v>959</v>
      </c>
      <c r="D1897">
        <v>715270</v>
      </c>
      <c r="E1897" t="s">
        <v>960</v>
      </c>
      <c r="F1897">
        <v>49.827500000000001</v>
      </c>
      <c r="G1897">
        <v>-92.744200000000006</v>
      </c>
      <c r="H1897">
        <v>-6</v>
      </c>
      <c r="I1897">
        <v>412.7</v>
      </c>
      <c r="J1897" t="str">
        <f>HYPERLINK("https://climate.onebuilding.org/WMO_Region_4_North_and_Central_America/CAN_Canada/ON_Ontario/CAN_ON_Dryden.Rgnl.AP.715270_TMYx.2004-2018.zip")</f>
        <v>https://climate.onebuilding.org/WMO_Region_4_North_and_Central_America/CAN_Canada/ON_Ontario/CAN_ON_Dryden.Rgnl.AP.715270_TMYx.2004-2018.zip</v>
      </c>
    </row>
    <row r="1898" spans="1:10" x14ac:dyDescent="0.25">
      <c r="A1898" t="s">
        <v>6</v>
      </c>
      <c r="B1898" t="s">
        <v>130</v>
      </c>
      <c r="C1898" t="s">
        <v>959</v>
      </c>
      <c r="D1898">
        <v>715270</v>
      </c>
      <c r="E1898" t="s">
        <v>10</v>
      </c>
      <c r="F1898">
        <v>49.827500000000001</v>
      </c>
      <c r="G1898">
        <v>-92.744200000000006</v>
      </c>
      <c r="H1898">
        <v>-6</v>
      </c>
      <c r="I1898">
        <v>412.7</v>
      </c>
      <c r="J1898" t="str">
        <f>HYPERLINK("https://climate.onebuilding.org/WMO_Region_4_North_and_Central_America/CAN_Canada/ON_Ontario/CAN_ON_Dryden.Rgnl.AP.715270_TMYx.2007-2021.zip")</f>
        <v>https://climate.onebuilding.org/WMO_Region_4_North_and_Central_America/CAN_Canada/ON_Ontario/CAN_ON_Dryden.Rgnl.AP.715270_TMYx.2007-2021.zip</v>
      </c>
    </row>
    <row r="1899" spans="1:10" x14ac:dyDescent="0.25">
      <c r="A1899" t="s">
        <v>6</v>
      </c>
      <c r="B1899" t="s">
        <v>130</v>
      </c>
      <c r="C1899" t="s">
        <v>959</v>
      </c>
      <c r="D1899">
        <v>715270</v>
      </c>
      <c r="E1899" t="s">
        <v>10</v>
      </c>
      <c r="F1899">
        <v>49.827500000000001</v>
      </c>
      <c r="G1899">
        <v>-92.744200000000006</v>
      </c>
      <c r="H1899">
        <v>-6</v>
      </c>
      <c r="I1899">
        <v>412.7</v>
      </c>
      <c r="J1899" t="str">
        <f>HYPERLINK("https://climate.onebuilding.org/WMO_Region_4_North_and_Central_America/CAN_Canada/ON_Ontario/CAN_ON_Dryden.Rgnl.AP.715270_TMYx.2009-2023.zip")</f>
        <v>https://climate.onebuilding.org/WMO_Region_4_North_and_Central_America/CAN_Canada/ON_Ontario/CAN_ON_Dryden.Rgnl.AP.715270_TMYx.2009-2023.zip</v>
      </c>
    </row>
    <row r="1900" spans="1:10" x14ac:dyDescent="0.25">
      <c r="A1900" t="s">
        <v>6</v>
      </c>
      <c r="B1900" t="s">
        <v>130</v>
      </c>
      <c r="C1900" t="s">
        <v>959</v>
      </c>
      <c r="D1900">
        <v>715270</v>
      </c>
      <c r="E1900" t="s">
        <v>10</v>
      </c>
      <c r="F1900">
        <v>49.827500000000001</v>
      </c>
      <c r="G1900">
        <v>-92.744200000000006</v>
      </c>
      <c r="H1900">
        <v>-6</v>
      </c>
      <c r="I1900">
        <v>412.7</v>
      </c>
      <c r="J1900" t="str">
        <f>HYPERLINK("https://climate.onebuilding.org/WMO_Region_4_North_and_Central_America/CAN_Canada/ON_Ontario/CAN_ON_Dryden.Rgnl.AP.715270_TMYx.zip")</f>
        <v>https://climate.onebuilding.org/WMO_Region_4_North_and_Central_America/CAN_Canada/ON_Ontario/CAN_ON_Dryden.Rgnl.AP.715270_TMYx.zip</v>
      </c>
    </row>
    <row r="1901" spans="1:10" x14ac:dyDescent="0.25">
      <c r="A1901" t="s">
        <v>6</v>
      </c>
      <c r="B1901" t="s">
        <v>130</v>
      </c>
      <c r="C1901" t="s">
        <v>961</v>
      </c>
      <c r="D1901">
        <v>715274</v>
      </c>
      <c r="E1901" t="s">
        <v>10</v>
      </c>
      <c r="F1901">
        <v>42.85</v>
      </c>
      <c r="G1901">
        <v>-80.266999999999996</v>
      </c>
      <c r="H1901">
        <v>-5</v>
      </c>
      <c r="I1901">
        <v>239</v>
      </c>
      <c r="J1901" t="str">
        <f>HYPERLINK("https://climate.onebuilding.org/WMO_Region_4_North_and_Central_America/CAN_Canada/ON_Ontario/CAN_ON_Simcoe.715274_TMYx.zip")</f>
        <v>https://climate.onebuilding.org/WMO_Region_4_North_and_Central_America/CAN_Canada/ON_Ontario/CAN_ON_Simcoe.715274_TMYx.zip</v>
      </c>
    </row>
    <row r="1902" spans="1:10" x14ac:dyDescent="0.25">
      <c r="A1902" t="s">
        <v>6</v>
      </c>
      <c r="B1902" t="s">
        <v>17</v>
      </c>
      <c r="C1902" t="s">
        <v>962</v>
      </c>
      <c r="D1902">
        <v>715280</v>
      </c>
      <c r="E1902" t="s">
        <v>963</v>
      </c>
      <c r="F1902">
        <v>49.9</v>
      </c>
      <c r="G1902">
        <v>-112.7333</v>
      </c>
      <c r="H1902">
        <v>-7</v>
      </c>
      <c r="I1902">
        <v>858</v>
      </c>
      <c r="J1902" t="str">
        <f>HYPERLINK("https://climate.onebuilding.org/WMO_Region_4_North_and_Central_America/CAN_Canada/AB_Alberta/CAN_AB_Iron.Springs.AgDM.715280_TMYx.2004-2018.zip")</f>
        <v>https://climate.onebuilding.org/WMO_Region_4_North_and_Central_America/CAN_Canada/AB_Alberta/CAN_AB_Iron.Springs.AgDM.715280_TMYx.2004-2018.zip</v>
      </c>
    </row>
    <row r="1903" spans="1:10" x14ac:dyDescent="0.25">
      <c r="A1903" t="s">
        <v>6</v>
      </c>
      <c r="B1903" t="s">
        <v>17</v>
      </c>
      <c r="C1903" t="s">
        <v>962</v>
      </c>
      <c r="D1903">
        <v>715280</v>
      </c>
      <c r="E1903" t="s">
        <v>10</v>
      </c>
      <c r="F1903">
        <v>49.900500000000001</v>
      </c>
      <c r="G1903">
        <v>-112.7452</v>
      </c>
      <c r="H1903">
        <v>-7</v>
      </c>
      <c r="I1903">
        <v>858</v>
      </c>
      <c r="J1903" t="str">
        <f>HYPERLINK("https://climate.onebuilding.org/WMO_Region_4_North_and_Central_America/CAN_Canada/AB_Alberta/CAN_AB_Iron.Springs.AgDM.715280_TMYx.2007-2021.zip")</f>
        <v>https://climate.onebuilding.org/WMO_Region_4_North_and_Central_America/CAN_Canada/AB_Alberta/CAN_AB_Iron.Springs.AgDM.715280_TMYx.2007-2021.zip</v>
      </c>
    </row>
    <row r="1904" spans="1:10" x14ac:dyDescent="0.25">
      <c r="A1904" t="s">
        <v>6</v>
      </c>
      <c r="B1904" t="s">
        <v>17</v>
      </c>
      <c r="C1904" t="s">
        <v>962</v>
      </c>
      <c r="D1904">
        <v>715280</v>
      </c>
      <c r="E1904" t="s">
        <v>10</v>
      </c>
      <c r="F1904">
        <v>49.900500000000001</v>
      </c>
      <c r="G1904">
        <v>-112.7452</v>
      </c>
      <c r="H1904">
        <v>-7</v>
      </c>
      <c r="I1904">
        <v>858</v>
      </c>
      <c r="J1904" t="str">
        <f>HYPERLINK("https://climate.onebuilding.org/WMO_Region_4_North_and_Central_America/CAN_Canada/AB_Alberta/CAN_AB_Iron.Springs.AgDM.715280_TMYx.2009-2023.zip")</f>
        <v>https://climate.onebuilding.org/WMO_Region_4_North_and_Central_America/CAN_Canada/AB_Alberta/CAN_AB_Iron.Springs.AgDM.715280_TMYx.2009-2023.zip</v>
      </c>
    </row>
    <row r="1905" spans="1:10" x14ac:dyDescent="0.25">
      <c r="A1905" t="s">
        <v>6</v>
      </c>
      <c r="B1905" t="s">
        <v>17</v>
      </c>
      <c r="C1905" t="s">
        <v>962</v>
      </c>
      <c r="D1905">
        <v>715280</v>
      </c>
      <c r="E1905" t="s">
        <v>10</v>
      </c>
      <c r="F1905">
        <v>49.900500000000001</v>
      </c>
      <c r="G1905">
        <v>-112.7452</v>
      </c>
      <c r="H1905">
        <v>-7</v>
      </c>
      <c r="I1905">
        <v>858</v>
      </c>
      <c r="J1905" t="str">
        <f>HYPERLINK("https://climate.onebuilding.org/WMO_Region_4_North_and_Central_America/CAN_Canada/AB_Alberta/CAN_AB_Iron.Springs.AgDM.715280_TMYx.zip")</f>
        <v>https://climate.onebuilding.org/WMO_Region_4_North_and_Central_America/CAN_Canada/AB_Alberta/CAN_AB_Iron.Springs.AgDM.715280_TMYx.zip</v>
      </c>
    </row>
    <row r="1906" spans="1:10" x14ac:dyDescent="0.25">
      <c r="A1906" t="s">
        <v>6</v>
      </c>
      <c r="B1906" t="s">
        <v>48</v>
      </c>
      <c r="C1906" t="s">
        <v>964</v>
      </c>
      <c r="D1906">
        <v>715290</v>
      </c>
      <c r="E1906" t="s">
        <v>965</v>
      </c>
      <c r="F1906">
        <v>62.415599999999998</v>
      </c>
      <c r="G1906">
        <v>-110.69029999999999</v>
      </c>
      <c r="H1906">
        <v>-7</v>
      </c>
      <c r="I1906">
        <v>178.9</v>
      </c>
      <c r="J1906" t="str">
        <f>HYPERLINK("https://climate.onebuilding.org/WMO_Region_4_North_and_Central_America/CAN_Canada/NT_Northwest_Territories/CAN_NT_Lutselke.AP.715290_TMYx.2004-2018.zip")</f>
        <v>https://climate.onebuilding.org/WMO_Region_4_North_and_Central_America/CAN_Canada/NT_Northwest_Territories/CAN_NT_Lutselke.AP.715290_TMYx.2004-2018.zip</v>
      </c>
    </row>
    <row r="1907" spans="1:10" x14ac:dyDescent="0.25">
      <c r="A1907" t="s">
        <v>6</v>
      </c>
      <c r="B1907" t="s">
        <v>48</v>
      </c>
      <c r="C1907" t="s">
        <v>964</v>
      </c>
      <c r="D1907">
        <v>715290</v>
      </c>
      <c r="E1907" t="s">
        <v>10</v>
      </c>
      <c r="F1907">
        <v>62.415599999999998</v>
      </c>
      <c r="G1907">
        <v>-110.69029999999999</v>
      </c>
      <c r="H1907">
        <v>-7</v>
      </c>
      <c r="I1907">
        <v>178.9</v>
      </c>
      <c r="J1907" t="str">
        <f>HYPERLINK("https://climate.onebuilding.org/WMO_Region_4_North_and_Central_America/CAN_Canada/NT_Northwest_Territories/CAN_NT_Lutselke.AP.715290_TMYx.2007-2021.zip")</f>
        <v>https://climate.onebuilding.org/WMO_Region_4_North_and_Central_America/CAN_Canada/NT_Northwest_Territories/CAN_NT_Lutselke.AP.715290_TMYx.2007-2021.zip</v>
      </c>
    </row>
    <row r="1908" spans="1:10" x14ac:dyDescent="0.25">
      <c r="A1908" t="s">
        <v>6</v>
      </c>
      <c r="B1908" t="s">
        <v>48</v>
      </c>
      <c r="C1908" t="s">
        <v>964</v>
      </c>
      <c r="D1908">
        <v>715290</v>
      </c>
      <c r="E1908" t="s">
        <v>10</v>
      </c>
      <c r="F1908">
        <v>62.415599999999998</v>
      </c>
      <c r="G1908">
        <v>-110.69029999999999</v>
      </c>
      <c r="H1908">
        <v>-7</v>
      </c>
      <c r="I1908">
        <v>178.9</v>
      </c>
      <c r="J1908" t="str">
        <f>HYPERLINK("https://climate.onebuilding.org/WMO_Region_4_North_and_Central_America/CAN_Canada/NT_Northwest_Territories/CAN_NT_Lutselke.AP.715290_TMYx.2009-2023.zip")</f>
        <v>https://climate.onebuilding.org/WMO_Region_4_North_and_Central_America/CAN_Canada/NT_Northwest_Territories/CAN_NT_Lutselke.AP.715290_TMYx.2009-2023.zip</v>
      </c>
    </row>
    <row r="1909" spans="1:10" x14ac:dyDescent="0.25">
      <c r="A1909" t="s">
        <v>6</v>
      </c>
      <c r="B1909" t="s">
        <v>48</v>
      </c>
      <c r="C1909" t="s">
        <v>964</v>
      </c>
      <c r="D1909">
        <v>715290</v>
      </c>
      <c r="E1909" t="s">
        <v>10</v>
      </c>
      <c r="F1909">
        <v>62.415599999999998</v>
      </c>
      <c r="G1909">
        <v>-110.69029999999999</v>
      </c>
      <c r="H1909">
        <v>-7</v>
      </c>
      <c r="I1909">
        <v>178.9</v>
      </c>
      <c r="J1909" t="str">
        <f>HYPERLINK("https://climate.onebuilding.org/WMO_Region_4_North_and_Central_America/CAN_Canada/NT_Northwest_Territories/CAN_NT_Lutselke.AP.715290_TMYx.zip")</f>
        <v>https://climate.onebuilding.org/WMO_Region_4_North_and_Central_America/CAN_Canada/NT_Northwest_Territories/CAN_NT_Lutselke.AP.715290_TMYx.zip</v>
      </c>
    </row>
    <row r="1910" spans="1:10" x14ac:dyDescent="0.25">
      <c r="A1910" t="s">
        <v>6</v>
      </c>
      <c r="B1910" t="s">
        <v>130</v>
      </c>
      <c r="C1910" t="s">
        <v>966</v>
      </c>
      <c r="D1910">
        <v>715320</v>
      </c>
      <c r="E1910" t="s">
        <v>967</v>
      </c>
      <c r="F1910">
        <v>44.974699999999999</v>
      </c>
      <c r="G1910">
        <v>-79.303299999999993</v>
      </c>
      <c r="H1910">
        <v>-5</v>
      </c>
      <c r="I1910">
        <v>281.89999999999998</v>
      </c>
      <c r="J1910" t="str">
        <f>HYPERLINK("https://climate.onebuilding.org/WMO_Region_4_North_and_Central_America/CAN_Canada/ON_Ontario/CAN_ON_Muskoka.AP.715320_TMYx.2004-2018.zip")</f>
        <v>https://climate.onebuilding.org/WMO_Region_4_North_and_Central_America/CAN_Canada/ON_Ontario/CAN_ON_Muskoka.AP.715320_TMYx.2004-2018.zip</v>
      </c>
    </row>
    <row r="1911" spans="1:10" x14ac:dyDescent="0.25">
      <c r="A1911" t="s">
        <v>6</v>
      </c>
      <c r="B1911" t="s">
        <v>130</v>
      </c>
      <c r="C1911" t="s">
        <v>966</v>
      </c>
      <c r="D1911">
        <v>715320</v>
      </c>
      <c r="E1911" t="s">
        <v>10</v>
      </c>
      <c r="F1911">
        <v>44.974699999999999</v>
      </c>
      <c r="G1911">
        <v>-79.303299999999993</v>
      </c>
      <c r="H1911">
        <v>-5</v>
      </c>
      <c r="I1911">
        <v>281.89999999999998</v>
      </c>
      <c r="J1911" t="str">
        <f>HYPERLINK("https://climate.onebuilding.org/WMO_Region_4_North_and_Central_America/CAN_Canada/ON_Ontario/CAN_ON_Muskoka.AP.715320_TMYx.2007-2021.zip")</f>
        <v>https://climate.onebuilding.org/WMO_Region_4_North_and_Central_America/CAN_Canada/ON_Ontario/CAN_ON_Muskoka.AP.715320_TMYx.2007-2021.zip</v>
      </c>
    </row>
    <row r="1912" spans="1:10" x14ac:dyDescent="0.25">
      <c r="A1912" t="s">
        <v>6</v>
      </c>
      <c r="B1912" t="s">
        <v>130</v>
      </c>
      <c r="C1912" t="s">
        <v>966</v>
      </c>
      <c r="D1912">
        <v>715320</v>
      </c>
      <c r="E1912" t="s">
        <v>10</v>
      </c>
      <c r="F1912">
        <v>44.974699999999999</v>
      </c>
      <c r="G1912">
        <v>-79.303299999999993</v>
      </c>
      <c r="H1912">
        <v>-5</v>
      </c>
      <c r="I1912">
        <v>281.89999999999998</v>
      </c>
      <c r="J1912" t="str">
        <f>HYPERLINK("https://climate.onebuilding.org/WMO_Region_4_North_and_Central_America/CAN_Canada/ON_Ontario/CAN_ON_Muskoka.AP.715320_TMYx.2009-2023.zip")</f>
        <v>https://climate.onebuilding.org/WMO_Region_4_North_and_Central_America/CAN_Canada/ON_Ontario/CAN_ON_Muskoka.AP.715320_TMYx.2009-2023.zip</v>
      </c>
    </row>
    <row r="1913" spans="1:10" x14ac:dyDescent="0.25">
      <c r="A1913" t="s">
        <v>6</v>
      </c>
      <c r="B1913" t="s">
        <v>130</v>
      </c>
      <c r="C1913" t="s">
        <v>966</v>
      </c>
      <c r="D1913">
        <v>715320</v>
      </c>
      <c r="E1913" t="s">
        <v>10</v>
      </c>
      <c r="F1913">
        <v>44.974699999999999</v>
      </c>
      <c r="G1913">
        <v>-79.303299999999993</v>
      </c>
      <c r="H1913">
        <v>-5</v>
      </c>
      <c r="I1913">
        <v>281.89999999999998</v>
      </c>
      <c r="J1913" t="str">
        <f>HYPERLINK("https://climate.onebuilding.org/WMO_Region_4_North_and_Central_America/CAN_Canada/ON_Ontario/CAN_ON_Muskoka.AP.715320_TMYx.zip")</f>
        <v>https://climate.onebuilding.org/WMO_Region_4_North_and_Central_America/CAN_Canada/ON_Ontario/CAN_ON_Muskoka.AP.715320_TMYx.zip</v>
      </c>
    </row>
    <row r="1914" spans="1:10" x14ac:dyDescent="0.25">
      <c r="A1914" t="s">
        <v>6</v>
      </c>
      <c r="B1914" t="s">
        <v>130</v>
      </c>
      <c r="C1914" t="s">
        <v>968</v>
      </c>
      <c r="D1914">
        <v>715340</v>
      </c>
      <c r="E1914" t="s">
        <v>969</v>
      </c>
      <c r="F1914">
        <v>44.25</v>
      </c>
      <c r="G1914">
        <v>-79.917000000000002</v>
      </c>
      <c r="H1914">
        <v>-5</v>
      </c>
      <c r="I1914">
        <v>223</v>
      </c>
      <c r="J1914" t="str">
        <f>HYPERLINK("https://climate.onebuilding.org/WMO_Region_4_North_and_Central_America/CAN_Canada/ON_Ontario/CAN_ON_CFB.Borden.715340_TMYx.2004-2018.zip")</f>
        <v>https://climate.onebuilding.org/WMO_Region_4_North_and_Central_America/CAN_Canada/ON_Ontario/CAN_ON_CFB.Borden.715340_TMYx.2004-2018.zip</v>
      </c>
    </row>
    <row r="1915" spans="1:10" x14ac:dyDescent="0.25">
      <c r="A1915" t="s">
        <v>6</v>
      </c>
      <c r="B1915" t="s">
        <v>130</v>
      </c>
      <c r="C1915" t="s">
        <v>968</v>
      </c>
      <c r="D1915">
        <v>715340</v>
      </c>
      <c r="E1915" t="s">
        <v>10</v>
      </c>
      <c r="F1915">
        <v>44.272219999999997</v>
      </c>
      <c r="G1915">
        <v>-79.911670000000001</v>
      </c>
      <c r="H1915">
        <v>-5</v>
      </c>
      <c r="I1915">
        <v>223</v>
      </c>
      <c r="J1915" t="str">
        <f>HYPERLINK("https://climate.onebuilding.org/WMO_Region_4_North_and_Central_America/CAN_Canada/ON_Ontario/CAN_ON_CFB.Borden.715340_TMYx.2007-2021.zip")</f>
        <v>https://climate.onebuilding.org/WMO_Region_4_North_and_Central_America/CAN_Canada/ON_Ontario/CAN_ON_CFB.Borden.715340_TMYx.2007-2021.zip</v>
      </c>
    </row>
    <row r="1916" spans="1:10" x14ac:dyDescent="0.25">
      <c r="A1916" t="s">
        <v>6</v>
      </c>
      <c r="B1916" t="s">
        <v>130</v>
      </c>
      <c r="C1916" t="s">
        <v>968</v>
      </c>
      <c r="D1916">
        <v>715340</v>
      </c>
      <c r="E1916" t="s">
        <v>10</v>
      </c>
      <c r="F1916">
        <v>44.272219999999997</v>
      </c>
      <c r="G1916">
        <v>-79.911670000000001</v>
      </c>
      <c r="H1916">
        <v>-5</v>
      </c>
      <c r="I1916">
        <v>223</v>
      </c>
      <c r="J1916" t="str">
        <f>HYPERLINK("https://climate.onebuilding.org/WMO_Region_4_North_and_Central_America/CAN_Canada/ON_Ontario/CAN_ON_CFB.Borden.715340_TMYx.2009-2023.zip")</f>
        <v>https://climate.onebuilding.org/WMO_Region_4_North_and_Central_America/CAN_Canada/ON_Ontario/CAN_ON_CFB.Borden.715340_TMYx.2009-2023.zip</v>
      </c>
    </row>
    <row r="1917" spans="1:10" x14ac:dyDescent="0.25">
      <c r="A1917" t="s">
        <v>6</v>
      </c>
      <c r="B1917" t="s">
        <v>130</v>
      </c>
      <c r="C1917" t="s">
        <v>968</v>
      </c>
      <c r="D1917">
        <v>715340</v>
      </c>
      <c r="E1917" t="s">
        <v>10</v>
      </c>
      <c r="F1917">
        <v>44.272219999999997</v>
      </c>
      <c r="G1917">
        <v>-79.911670000000001</v>
      </c>
      <c r="H1917">
        <v>-5</v>
      </c>
      <c r="I1917">
        <v>223</v>
      </c>
      <c r="J1917" t="str">
        <f>HYPERLINK("https://climate.onebuilding.org/WMO_Region_4_North_and_Central_America/CAN_Canada/ON_Ontario/CAN_ON_CFB.Borden.715340_TMYx.zip")</f>
        <v>https://climate.onebuilding.org/WMO_Region_4_North_and_Central_America/CAN_Canada/ON_Ontario/CAN_ON_CFB.Borden.715340_TMYx.zip</v>
      </c>
    </row>
    <row r="1918" spans="1:10" x14ac:dyDescent="0.25">
      <c r="A1918" t="s">
        <v>6</v>
      </c>
      <c r="B1918" t="s">
        <v>17</v>
      </c>
      <c r="C1918" t="s">
        <v>970</v>
      </c>
      <c r="D1918">
        <v>715350</v>
      </c>
      <c r="E1918" t="s">
        <v>971</v>
      </c>
      <c r="F1918">
        <v>49.8</v>
      </c>
      <c r="G1918">
        <v>-112.0333</v>
      </c>
      <c r="H1918">
        <v>-7</v>
      </c>
      <c r="I1918">
        <v>833</v>
      </c>
      <c r="J1918" t="str">
        <f>HYPERLINK("https://climate.onebuilding.org/WMO_Region_4_North_and_Central_America/CAN_Canada/AB_Alberta/CAN_AB_Fincastle.AgDM.715350_TMYx.2004-2018.zip")</f>
        <v>https://climate.onebuilding.org/WMO_Region_4_North_and_Central_America/CAN_Canada/AB_Alberta/CAN_AB_Fincastle.AgDM.715350_TMYx.2004-2018.zip</v>
      </c>
    </row>
    <row r="1919" spans="1:10" x14ac:dyDescent="0.25">
      <c r="A1919" t="s">
        <v>6</v>
      </c>
      <c r="B1919" t="s">
        <v>17</v>
      </c>
      <c r="C1919" t="s">
        <v>970</v>
      </c>
      <c r="D1919">
        <v>715350</v>
      </c>
      <c r="E1919" t="s">
        <v>10</v>
      </c>
      <c r="F1919">
        <v>49.802300000000002</v>
      </c>
      <c r="G1919">
        <v>-112.0459</v>
      </c>
      <c r="H1919">
        <v>-7</v>
      </c>
      <c r="I1919">
        <v>833</v>
      </c>
      <c r="J1919" t="str">
        <f>HYPERLINK("https://climate.onebuilding.org/WMO_Region_4_North_and_Central_America/CAN_Canada/AB_Alberta/CAN_AB_Fincastle.AgDM.715350_TMYx.2007-2021.zip")</f>
        <v>https://climate.onebuilding.org/WMO_Region_4_North_and_Central_America/CAN_Canada/AB_Alberta/CAN_AB_Fincastle.AgDM.715350_TMYx.2007-2021.zip</v>
      </c>
    </row>
    <row r="1920" spans="1:10" x14ac:dyDescent="0.25">
      <c r="A1920" t="s">
        <v>6</v>
      </c>
      <c r="B1920" t="s">
        <v>17</v>
      </c>
      <c r="C1920" t="s">
        <v>970</v>
      </c>
      <c r="D1920">
        <v>715350</v>
      </c>
      <c r="E1920" t="s">
        <v>10</v>
      </c>
      <c r="F1920">
        <v>49.802300000000002</v>
      </c>
      <c r="G1920">
        <v>-112.0459</v>
      </c>
      <c r="H1920">
        <v>-7</v>
      </c>
      <c r="I1920">
        <v>833</v>
      </c>
      <c r="J1920" t="str">
        <f>HYPERLINK("https://climate.onebuilding.org/WMO_Region_4_North_and_Central_America/CAN_Canada/AB_Alberta/CAN_AB_Fincastle.AgDM.715350_TMYx.2009-2023.zip")</f>
        <v>https://climate.onebuilding.org/WMO_Region_4_North_and_Central_America/CAN_Canada/AB_Alberta/CAN_AB_Fincastle.AgDM.715350_TMYx.2009-2023.zip</v>
      </c>
    </row>
    <row r="1921" spans="1:10" x14ac:dyDescent="0.25">
      <c r="A1921" t="s">
        <v>6</v>
      </c>
      <c r="B1921" t="s">
        <v>17</v>
      </c>
      <c r="C1921" t="s">
        <v>970</v>
      </c>
      <c r="D1921">
        <v>715350</v>
      </c>
      <c r="E1921" t="s">
        <v>10</v>
      </c>
      <c r="F1921">
        <v>49.802300000000002</v>
      </c>
      <c r="G1921">
        <v>-112.0459</v>
      </c>
      <c r="H1921">
        <v>-7</v>
      </c>
      <c r="I1921">
        <v>833</v>
      </c>
      <c r="J1921" t="str">
        <f>HYPERLINK("https://climate.onebuilding.org/WMO_Region_4_North_and_Central_America/CAN_Canada/AB_Alberta/CAN_AB_Fincastle.AgDM.715350_TMYx.zip")</f>
        <v>https://climate.onebuilding.org/WMO_Region_4_North_and_Central_America/CAN_Canada/AB_Alberta/CAN_AB_Fincastle.AgDM.715350_TMYx.zip</v>
      </c>
    </row>
    <row r="1922" spans="1:10" x14ac:dyDescent="0.25">
      <c r="A1922" t="s">
        <v>6</v>
      </c>
      <c r="B1922" t="s">
        <v>17</v>
      </c>
      <c r="C1922" t="s">
        <v>972</v>
      </c>
      <c r="D1922">
        <v>715360</v>
      </c>
      <c r="E1922" t="s">
        <v>973</v>
      </c>
      <c r="F1922">
        <v>49.4833</v>
      </c>
      <c r="G1922">
        <v>-112.6833</v>
      </c>
      <c r="H1922">
        <v>-7</v>
      </c>
      <c r="I1922">
        <v>937</v>
      </c>
      <c r="J1922" t="str">
        <f>HYPERLINK("https://climate.onebuilding.org/WMO_Region_4_North_and_Central_America/CAN_Canada/AB_Alberta/CAN_AB_Raymond.AgDM.715360_TMYx.2004-2018.zip")</f>
        <v>https://climate.onebuilding.org/WMO_Region_4_North_and_Central_America/CAN_Canada/AB_Alberta/CAN_AB_Raymond.AgDM.715360_TMYx.2004-2018.zip</v>
      </c>
    </row>
    <row r="1923" spans="1:10" x14ac:dyDescent="0.25">
      <c r="A1923" t="s">
        <v>6</v>
      </c>
      <c r="B1923" t="s">
        <v>17</v>
      </c>
      <c r="C1923" t="s">
        <v>972</v>
      </c>
      <c r="D1923">
        <v>715360</v>
      </c>
      <c r="E1923" t="s">
        <v>10</v>
      </c>
      <c r="F1923">
        <v>49.487000000000002</v>
      </c>
      <c r="G1923">
        <v>-112.675</v>
      </c>
      <c r="H1923">
        <v>-7</v>
      </c>
      <c r="I1923">
        <v>937</v>
      </c>
      <c r="J1923" t="str">
        <f>HYPERLINK("https://climate.onebuilding.org/WMO_Region_4_North_and_Central_America/CAN_Canada/AB_Alberta/CAN_AB_Raymond.AgDM.715360_TMYx.2007-2021.zip")</f>
        <v>https://climate.onebuilding.org/WMO_Region_4_North_and_Central_America/CAN_Canada/AB_Alberta/CAN_AB_Raymond.AgDM.715360_TMYx.2007-2021.zip</v>
      </c>
    </row>
    <row r="1924" spans="1:10" x14ac:dyDescent="0.25">
      <c r="A1924" t="s">
        <v>6</v>
      </c>
      <c r="B1924" t="s">
        <v>17</v>
      </c>
      <c r="C1924" t="s">
        <v>972</v>
      </c>
      <c r="D1924">
        <v>715360</v>
      </c>
      <c r="E1924" t="s">
        <v>10</v>
      </c>
      <c r="F1924">
        <v>49.487000000000002</v>
      </c>
      <c r="G1924">
        <v>-112.675</v>
      </c>
      <c r="H1924">
        <v>-7</v>
      </c>
      <c r="I1924">
        <v>937</v>
      </c>
      <c r="J1924" t="str">
        <f>HYPERLINK("https://climate.onebuilding.org/WMO_Region_4_North_and_Central_America/CAN_Canada/AB_Alberta/CAN_AB_Raymond.AgDM.715360_TMYx.2009-2023.zip")</f>
        <v>https://climate.onebuilding.org/WMO_Region_4_North_and_Central_America/CAN_Canada/AB_Alberta/CAN_AB_Raymond.AgDM.715360_TMYx.2009-2023.zip</v>
      </c>
    </row>
    <row r="1925" spans="1:10" x14ac:dyDescent="0.25">
      <c r="A1925" t="s">
        <v>6</v>
      </c>
      <c r="B1925" t="s">
        <v>17</v>
      </c>
      <c r="C1925" t="s">
        <v>972</v>
      </c>
      <c r="D1925">
        <v>715360</v>
      </c>
      <c r="E1925" t="s">
        <v>10</v>
      </c>
      <c r="F1925">
        <v>49.487000000000002</v>
      </c>
      <c r="G1925">
        <v>-112.675</v>
      </c>
      <c r="H1925">
        <v>-7</v>
      </c>
      <c r="I1925">
        <v>937</v>
      </c>
      <c r="J1925" t="str">
        <f>HYPERLINK("https://climate.onebuilding.org/WMO_Region_4_North_and_Central_America/CAN_Canada/AB_Alberta/CAN_AB_Raymond.AgDM.715360_TMYx.zip")</f>
        <v>https://climate.onebuilding.org/WMO_Region_4_North_and_Central_America/CAN_Canada/AB_Alberta/CAN_AB_Raymond.AgDM.715360_TMYx.zip</v>
      </c>
    </row>
    <row r="1926" spans="1:10" x14ac:dyDescent="0.25">
      <c r="A1926" t="s">
        <v>6</v>
      </c>
      <c r="B1926" t="s">
        <v>17</v>
      </c>
      <c r="C1926" t="s">
        <v>974</v>
      </c>
      <c r="D1926">
        <v>715370</v>
      </c>
      <c r="E1926" t="s">
        <v>975</v>
      </c>
      <c r="F1926">
        <v>50.82</v>
      </c>
      <c r="G1926">
        <v>-112.05</v>
      </c>
      <c r="H1926">
        <v>-7</v>
      </c>
      <c r="I1926">
        <v>714</v>
      </c>
      <c r="J1926" t="str">
        <f>HYPERLINK("https://climate.onebuilding.org/WMO_Region_4_North_and_Central_America/CAN_Canada/AB_Alberta/CAN_AB_Rosemary.AgDM.715370_TMYx.2004-2018.zip")</f>
        <v>https://climate.onebuilding.org/WMO_Region_4_North_and_Central_America/CAN_Canada/AB_Alberta/CAN_AB_Rosemary.AgDM.715370_TMYx.2004-2018.zip</v>
      </c>
    </row>
    <row r="1927" spans="1:10" x14ac:dyDescent="0.25">
      <c r="A1927" t="s">
        <v>6</v>
      </c>
      <c r="B1927" t="s">
        <v>17</v>
      </c>
      <c r="C1927" t="s">
        <v>974</v>
      </c>
      <c r="D1927">
        <v>715370</v>
      </c>
      <c r="E1927" t="s">
        <v>10</v>
      </c>
      <c r="F1927">
        <v>50.834400000000002</v>
      </c>
      <c r="G1927">
        <v>-112.0573</v>
      </c>
      <c r="H1927">
        <v>-7</v>
      </c>
      <c r="I1927">
        <v>714</v>
      </c>
      <c r="J1927" t="str">
        <f>HYPERLINK("https://climate.onebuilding.org/WMO_Region_4_North_and_Central_America/CAN_Canada/AB_Alberta/CAN_AB_Rosemary.AgDM.715370_TMYx.2007-2021.zip")</f>
        <v>https://climate.onebuilding.org/WMO_Region_4_North_and_Central_America/CAN_Canada/AB_Alberta/CAN_AB_Rosemary.AgDM.715370_TMYx.2007-2021.zip</v>
      </c>
    </row>
    <row r="1928" spans="1:10" x14ac:dyDescent="0.25">
      <c r="A1928" t="s">
        <v>6</v>
      </c>
      <c r="B1928" t="s">
        <v>17</v>
      </c>
      <c r="C1928" t="s">
        <v>974</v>
      </c>
      <c r="D1928">
        <v>715370</v>
      </c>
      <c r="E1928" t="s">
        <v>10</v>
      </c>
      <c r="F1928">
        <v>50.834400000000002</v>
      </c>
      <c r="G1928">
        <v>-112.0573</v>
      </c>
      <c r="H1928">
        <v>-7</v>
      </c>
      <c r="I1928">
        <v>714</v>
      </c>
      <c r="J1928" t="str">
        <f>HYPERLINK("https://climate.onebuilding.org/WMO_Region_4_North_and_Central_America/CAN_Canada/AB_Alberta/CAN_AB_Rosemary.AgDM.715370_TMYx.2009-2023.zip")</f>
        <v>https://climate.onebuilding.org/WMO_Region_4_North_and_Central_America/CAN_Canada/AB_Alberta/CAN_AB_Rosemary.AgDM.715370_TMYx.2009-2023.zip</v>
      </c>
    </row>
    <row r="1929" spans="1:10" x14ac:dyDescent="0.25">
      <c r="A1929" t="s">
        <v>6</v>
      </c>
      <c r="B1929" t="s">
        <v>17</v>
      </c>
      <c r="C1929" t="s">
        <v>974</v>
      </c>
      <c r="D1929">
        <v>715370</v>
      </c>
      <c r="E1929" t="s">
        <v>10</v>
      </c>
      <c r="F1929">
        <v>50.834400000000002</v>
      </c>
      <c r="G1929">
        <v>-112.0573</v>
      </c>
      <c r="H1929">
        <v>-7</v>
      </c>
      <c r="I1929">
        <v>714</v>
      </c>
      <c r="J1929" t="str">
        <f>HYPERLINK("https://climate.onebuilding.org/WMO_Region_4_North_and_Central_America/CAN_Canada/AB_Alberta/CAN_AB_Rosemary.AgDM.715370_TMYx.zip")</f>
        <v>https://climate.onebuilding.org/WMO_Region_4_North_and_Central_America/CAN_Canada/AB_Alberta/CAN_AB_Rosemary.AgDM.715370_TMYx.zip</v>
      </c>
    </row>
    <row r="1930" spans="1:10" x14ac:dyDescent="0.25">
      <c r="A1930" t="s">
        <v>6</v>
      </c>
      <c r="B1930" t="s">
        <v>130</v>
      </c>
      <c r="C1930" t="s">
        <v>976</v>
      </c>
      <c r="D1930">
        <v>715380</v>
      </c>
      <c r="E1930" t="s">
        <v>977</v>
      </c>
      <c r="F1930">
        <v>42.275599999999997</v>
      </c>
      <c r="G1930">
        <v>-82.955600000000004</v>
      </c>
      <c r="H1930">
        <v>-5</v>
      </c>
      <c r="I1930">
        <v>189.6</v>
      </c>
      <c r="J1930" t="str">
        <f>HYPERLINK("https://climate.onebuilding.org/WMO_Region_4_North_and_Central_America/CAN_Canada/ON_Ontario/CAN_ON_Windsor.Intl.AP.715380_TMYx.2004-2018.zip")</f>
        <v>https://climate.onebuilding.org/WMO_Region_4_North_and_Central_America/CAN_Canada/ON_Ontario/CAN_ON_Windsor.Intl.AP.715380_TMYx.2004-2018.zip</v>
      </c>
    </row>
    <row r="1931" spans="1:10" x14ac:dyDescent="0.25">
      <c r="A1931" t="s">
        <v>6</v>
      </c>
      <c r="B1931" t="s">
        <v>130</v>
      </c>
      <c r="C1931" t="s">
        <v>976</v>
      </c>
      <c r="D1931">
        <v>715380</v>
      </c>
      <c r="E1931" t="s">
        <v>10</v>
      </c>
      <c r="F1931">
        <v>42.278799999999997</v>
      </c>
      <c r="G1931">
        <v>-82.949399999999997</v>
      </c>
      <c r="H1931">
        <v>-5</v>
      </c>
      <c r="I1931">
        <v>189.6</v>
      </c>
      <c r="J1931" t="str">
        <f>HYPERLINK("https://climate.onebuilding.org/WMO_Region_4_North_and_Central_America/CAN_Canada/ON_Ontario/CAN_ON_Windsor.Intl.AP.715380_TMYx.2007-2021.zip")</f>
        <v>https://climate.onebuilding.org/WMO_Region_4_North_and_Central_America/CAN_Canada/ON_Ontario/CAN_ON_Windsor.Intl.AP.715380_TMYx.2007-2021.zip</v>
      </c>
    </row>
    <row r="1932" spans="1:10" x14ac:dyDescent="0.25">
      <c r="A1932" t="s">
        <v>6</v>
      </c>
      <c r="B1932" t="s">
        <v>130</v>
      </c>
      <c r="C1932" t="s">
        <v>976</v>
      </c>
      <c r="D1932">
        <v>715380</v>
      </c>
      <c r="E1932" t="s">
        <v>10</v>
      </c>
      <c r="F1932">
        <v>42.278799999999997</v>
      </c>
      <c r="G1932">
        <v>-82.949399999999997</v>
      </c>
      <c r="H1932">
        <v>-5</v>
      </c>
      <c r="I1932">
        <v>189.6</v>
      </c>
      <c r="J1932" t="str">
        <f>HYPERLINK("https://climate.onebuilding.org/WMO_Region_4_North_and_Central_America/CAN_Canada/ON_Ontario/CAN_ON_Windsor.Intl.AP.715380_TMYx.2009-2023.zip")</f>
        <v>https://climate.onebuilding.org/WMO_Region_4_North_and_Central_America/CAN_Canada/ON_Ontario/CAN_ON_Windsor.Intl.AP.715380_TMYx.2009-2023.zip</v>
      </c>
    </row>
    <row r="1933" spans="1:10" x14ac:dyDescent="0.25">
      <c r="A1933" t="s">
        <v>6</v>
      </c>
      <c r="B1933" t="s">
        <v>130</v>
      </c>
      <c r="C1933" t="s">
        <v>976</v>
      </c>
      <c r="D1933">
        <v>715380</v>
      </c>
      <c r="E1933" t="s">
        <v>10</v>
      </c>
      <c r="F1933">
        <v>42.278799999999997</v>
      </c>
      <c r="G1933">
        <v>-82.949399999999997</v>
      </c>
      <c r="H1933">
        <v>-5</v>
      </c>
      <c r="I1933">
        <v>189.6</v>
      </c>
      <c r="J1933" t="str">
        <f>HYPERLINK("https://climate.onebuilding.org/WMO_Region_4_North_and_Central_America/CAN_Canada/ON_Ontario/CAN_ON_Windsor.Intl.AP.715380_TMYx.zip")</f>
        <v>https://climate.onebuilding.org/WMO_Region_4_North_and_Central_America/CAN_Canada/ON_Ontario/CAN_ON_Windsor.Intl.AP.715380_TMYx.zip</v>
      </c>
    </row>
    <row r="1934" spans="1:10" x14ac:dyDescent="0.25">
      <c r="A1934" t="s">
        <v>6</v>
      </c>
      <c r="B1934" t="s">
        <v>58</v>
      </c>
      <c r="C1934" t="s">
        <v>978</v>
      </c>
      <c r="D1934">
        <v>715390</v>
      </c>
      <c r="E1934" t="s">
        <v>979</v>
      </c>
      <c r="F1934">
        <v>50.317</v>
      </c>
      <c r="G1934">
        <v>-105.55</v>
      </c>
      <c r="H1934">
        <v>-6</v>
      </c>
      <c r="I1934">
        <v>577</v>
      </c>
      <c r="J1934" t="str">
        <f>HYPERLINK("https://climate.onebuilding.org/WMO_Region_4_North_and_Central_America/CAN_Canada/SK_Saskatchewan/CAN_SK_CFB.Moose.Jaw.715390_TMYx.2004-2018.zip")</f>
        <v>https://climate.onebuilding.org/WMO_Region_4_North_and_Central_America/CAN_Canada/SK_Saskatchewan/CAN_SK_CFB.Moose.Jaw.715390_TMYx.2004-2018.zip</v>
      </c>
    </row>
    <row r="1935" spans="1:10" x14ac:dyDescent="0.25">
      <c r="A1935" t="s">
        <v>6</v>
      </c>
      <c r="B1935" t="s">
        <v>58</v>
      </c>
      <c r="C1935" t="s">
        <v>978</v>
      </c>
      <c r="D1935">
        <v>715390</v>
      </c>
      <c r="E1935" t="s">
        <v>10</v>
      </c>
      <c r="F1935">
        <v>50.331670000000003</v>
      </c>
      <c r="G1935">
        <v>-105.53749999999999</v>
      </c>
      <c r="H1935">
        <v>-6</v>
      </c>
      <c r="I1935">
        <v>577</v>
      </c>
      <c r="J1935" t="str">
        <f>HYPERLINK("https://climate.onebuilding.org/WMO_Region_4_North_and_Central_America/CAN_Canada/SK_Saskatchewan/CAN_SK_CFB.Moose.Jaw.715390_TMYx.2007-2021.zip")</f>
        <v>https://climate.onebuilding.org/WMO_Region_4_North_and_Central_America/CAN_Canada/SK_Saskatchewan/CAN_SK_CFB.Moose.Jaw.715390_TMYx.2007-2021.zip</v>
      </c>
    </row>
    <row r="1936" spans="1:10" x14ac:dyDescent="0.25">
      <c r="A1936" t="s">
        <v>6</v>
      </c>
      <c r="B1936" t="s">
        <v>58</v>
      </c>
      <c r="C1936" t="s">
        <v>978</v>
      </c>
      <c r="D1936">
        <v>715390</v>
      </c>
      <c r="E1936" t="s">
        <v>10</v>
      </c>
      <c r="F1936">
        <v>50.331670000000003</v>
      </c>
      <c r="G1936">
        <v>-105.53749999999999</v>
      </c>
      <c r="H1936">
        <v>-6</v>
      </c>
      <c r="I1936">
        <v>577</v>
      </c>
      <c r="J1936" t="str">
        <f>HYPERLINK("https://climate.onebuilding.org/WMO_Region_4_North_and_Central_America/CAN_Canada/SK_Saskatchewan/CAN_SK_CFB.Moose.Jaw.715390_TMYx.2009-2023.zip")</f>
        <v>https://climate.onebuilding.org/WMO_Region_4_North_and_Central_America/CAN_Canada/SK_Saskatchewan/CAN_SK_CFB.Moose.Jaw.715390_TMYx.2009-2023.zip</v>
      </c>
    </row>
    <row r="1937" spans="1:10" x14ac:dyDescent="0.25">
      <c r="A1937" t="s">
        <v>6</v>
      </c>
      <c r="B1937" t="s">
        <v>58</v>
      </c>
      <c r="C1937" t="s">
        <v>978</v>
      </c>
      <c r="D1937">
        <v>715390</v>
      </c>
      <c r="E1937" t="s">
        <v>10</v>
      </c>
      <c r="F1937">
        <v>50.331670000000003</v>
      </c>
      <c r="G1937">
        <v>-105.53749999999999</v>
      </c>
      <c r="H1937">
        <v>-6</v>
      </c>
      <c r="I1937">
        <v>577</v>
      </c>
      <c r="J1937" t="str">
        <f>HYPERLINK("https://climate.onebuilding.org/WMO_Region_4_North_and_Central_America/CAN_Canada/SK_Saskatchewan/CAN_SK_CFB.Moose.Jaw.715390_TMYx.zip")</f>
        <v>https://climate.onebuilding.org/WMO_Region_4_North_and_Central_America/CAN_Canada/SK_Saskatchewan/CAN_SK_CFB.Moose.Jaw.715390_TMYx.zip</v>
      </c>
    </row>
    <row r="1938" spans="1:10" x14ac:dyDescent="0.25">
      <c r="A1938" t="s">
        <v>6</v>
      </c>
      <c r="B1938" t="s">
        <v>17</v>
      </c>
      <c r="C1938" t="s">
        <v>980</v>
      </c>
      <c r="D1938">
        <v>715400</v>
      </c>
      <c r="E1938" t="s">
        <v>981</v>
      </c>
      <c r="F1938">
        <v>52.31</v>
      </c>
      <c r="G1938">
        <v>-114.4858</v>
      </c>
      <c r="H1938">
        <v>-8</v>
      </c>
      <c r="I1938">
        <v>965</v>
      </c>
      <c r="J1938" t="str">
        <f>HYPERLINK("https://climate.onebuilding.org/WMO_Region_4_North_and_Central_America/CAN_Canada/AB_Alberta/CAN_AB_Hespero.AgCM.715400_TMYx.2004-2018.zip")</f>
        <v>https://climate.onebuilding.org/WMO_Region_4_North_and_Central_America/CAN_Canada/AB_Alberta/CAN_AB_Hespero.AgCM.715400_TMYx.2004-2018.zip</v>
      </c>
    </row>
    <row r="1939" spans="1:10" x14ac:dyDescent="0.25">
      <c r="A1939" t="s">
        <v>6</v>
      </c>
      <c r="B1939" t="s">
        <v>17</v>
      </c>
      <c r="C1939" t="s">
        <v>980</v>
      </c>
      <c r="D1939">
        <v>715400</v>
      </c>
      <c r="E1939" t="s">
        <v>10</v>
      </c>
      <c r="F1939">
        <v>52.31</v>
      </c>
      <c r="G1939">
        <v>-114.4858</v>
      </c>
      <c r="H1939">
        <v>-7</v>
      </c>
      <c r="I1939">
        <v>965</v>
      </c>
      <c r="J1939" t="str">
        <f>HYPERLINK("https://climate.onebuilding.org/WMO_Region_4_North_and_Central_America/CAN_Canada/AB_Alberta/CAN_AB_Hespero.AgCM.715400_TMYx.2007-2021.zip")</f>
        <v>https://climate.onebuilding.org/WMO_Region_4_North_and_Central_America/CAN_Canada/AB_Alberta/CAN_AB_Hespero.AgCM.715400_TMYx.2007-2021.zip</v>
      </c>
    </row>
    <row r="1940" spans="1:10" x14ac:dyDescent="0.25">
      <c r="A1940" t="s">
        <v>6</v>
      </c>
      <c r="B1940" t="s">
        <v>17</v>
      </c>
      <c r="C1940" t="s">
        <v>980</v>
      </c>
      <c r="D1940">
        <v>715400</v>
      </c>
      <c r="E1940" t="s">
        <v>10</v>
      </c>
      <c r="F1940">
        <v>52.31</v>
      </c>
      <c r="G1940">
        <v>-114.4858</v>
      </c>
      <c r="H1940">
        <v>-7</v>
      </c>
      <c r="I1940">
        <v>965</v>
      </c>
      <c r="J1940" t="str">
        <f>HYPERLINK("https://climate.onebuilding.org/WMO_Region_4_North_and_Central_America/CAN_Canada/AB_Alberta/CAN_AB_Hespero.AgCM.715400_TMYx.2009-2023.zip")</f>
        <v>https://climate.onebuilding.org/WMO_Region_4_North_and_Central_America/CAN_Canada/AB_Alberta/CAN_AB_Hespero.AgCM.715400_TMYx.2009-2023.zip</v>
      </c>
    </row>
    <row r="1941" spans="1:10" x14ac:dyDescent="0.25">
      <c r="A1941" t="s">
        <v>6</v>
      </c>
      <c r="B1941" t="s">
        <v>17</v>
      </c>
      <c r="C1941" t="s">
        <v>980</v>
      </c>
      <c r="D1941">
        <v>715400</v>
      </c>
      <c r="E1941" t="s">
        <v>10</v>
      </c>
      <c r="F1941">
        <v>52.31</v>
      </c>
      <c r="G1941">
        <v>-114.4858</v>
      </c>
      <c r="H1941">
        <v>-7</v>
      </c>
      <c r="I1941">
        <v>965</v>
      </c>
      <c r="J1941" t="str">
        <f>HYPERLINK("https://climate.onebuilding.org/WMO_Region_4_North_and_Central_America/CAN_Canada/AB_Alberta/CAN_AB_Hespero.AgCM.715400_TMYx.zip")</f>
        <v>https://climate.onebuilding.org/WMO_Region_4_North_and_Central_America/CAN_Canada/AB_Alberta/CAN_AB_Hespero.AgCM.715400_TMYx.zip</v>
      </c>
    </row>
    <row r="1942" spans="1:10" x14ac:dyDescent="0.25">
      <c r="A1942" t="s">
        <v>6</v>
      </c>
      <c r="B1942" t="s">
        <v>17</v>
      </c>
      <c r="C1942" t="s">
        <v>982</v>
      </c>
      <c r="D1942">
        <v>715410</v>
      </c>
      <c r="E1942" t="s">
        <v>983</v>
      </c>
      <c r="F1942">
        <v>55.9</v>
      </c>
      <c r="G1942">
        <v>-117.117</v>
      </c>
      <c r="H1942">
        <v>-7</v>
      </c>
      <c r="I1942">
        <v>638</v>
      </c>
      <c r="J1942" t="str">
        <f>HYPERLINK("https://climate.onebuilding.org/WMO_Region_4_North_and_Central_America/CAN_Canada/AB_Alberta/CAN_AB_Jean.Cote.AgCM.715410_TMYx.2004-2018.zip")</f>
        <v>https://climate.onebuilding.org/WMO_Region_4_North_and_Central_America/CAN_Canada/AB_Alberta/CAN_AB_Jean.Cote.AgCM.715410_TMYx.2004-2018.zip</v>
      </c>
    </row>
    <row r="1943" spans="1:10" x14ac:dyDescent="0.25">
      <c r="A1943" t="s">
        <v>6</v>
      </c>
      <c r="B1943" t="s">
        <v>17</v>
      </c>
      <c r="C1943" t="s">
        <v>982</v>
      </c>
      <c r="D1943">
        <v>715410</v>
      </c>
      <c r="E1943" t="s">
        <v>10</v>
      </c>
      <c r="F1943">
        <v>55.912779999999998</v>
      </c>
      <c r="G1943">
        <v>-117.11969999999999</v>
      </c>
      <c r="H1943">
        <v>-7</v>
      </c>
      <c r="I1943">
        <v>638</v>
      </c>
      <c r="J1943" t="str">
        <f>HYPERLINK("https://climate.onebuilding.org/WMO_Region_4_North_and_Central_America/CAN_Canada/AB_Alberta/CAN_AB_Jean.Cote.AgCM.715410_TMYx.2007-2021.zip")</f>
        <v>https://climate.onebuilding.org/WMO_Region_4_North_and_Central_America/CAN_Canada/AB_Alberta/CAN_AB_Jean.Cote.AgCM.715410_TMYx.2007-2021.zip</v>
      </c>
    </row>
    <row r="1944" spans="1:10" x14ac:dyDescent="0.25">
      <c r="A1944" t="s">
        <v>6</v>
      </c>
      <c r="B1944" t="s">
        <v>17</v>
      </c>
      <c r="C1944" t="s">
        <v>982</v>
      </c>
      <c r="D1944">
        <v>715410</v>
      </c>
      <c r="E1944" t="s">
        <v>10</v>
      </c>
      <c r="F1944">
        <v>55.912779999999998</v>
      </c>
      <c r="G1944">
        <v>-117.11969999999999</v>
      </c>
      <c r="H1944">
        <v>-7</v>
      </c>
      <c r="I1944">
        <v>638</v>
      </c>
      <c r="J1944" t="str">
        <f>HYPERLINK("https://climate.onebuilding.org/WMO_Region_4_North_and_Central_America/CAN_Canada/AB_Alberta/CAN_AB_Jean.Cote.AgCM.715410_TMYx.2009-2023.zip")</f>
        <v>https://climate.onebuilding.org/WMO_Region_4_North_and_Central_America/CAN_Canada/AB_Alberta/CAN_AB_Jean.Cote.AgCM.715410_TMYx.2009-2023.zip</v>
      </c>
    </row>
    <row r="1945" spans="1:10" x14ac:dyDescent="0.25">
      <c r="A1945" t="s">
        <v>6</v>
      </c>
      <c r="B1945" t="s">
        <v>17</v>
      </c>
      <c r="C1945" t="s">
        <v>982</v>
      </c>
      <c r="D1945">
        <v>715410</v>
      </c>
      <c r="E1945" t="s">
        <v>10</v>
      </c>
      <c r="F1945">
        <v>55.912779999999998</v>
      </c>
      <c r="G1945">
        <v>-117.11969999999999</v>
      </c>
      <c r="H1945">
        <v>-7</v>
      </c>
      <c r="I1945">
        <v>638</v>
      </c>
      <c r="J1945" t="str">
        <f>HYPERLINK("https://climate.onebuilding.org/WMO_Region_4_North_and_Central_America/CAN_Canada/AB_Alberta/CAN_AB_Jean.Cote.AgCM.715410_TMYx.zip")</f>
        <v>https://climate.onebuilding.org/WMO_Region_4_North_and_Central_America/CAN_Canada/AB_Alberta/CAN_AB_Jean.Cote.AgCM.715410_TMYx.zip</v>
      </c>
    </row>
    <row r="1946" spans="1:10" x14ac:dyDescent="0.25">
      <c r="A1946" t="s">
        <v>6</v>
      </c>
      <c r="B1946" t="s">
        <v>17</v>
      </c>
      <c r="C1946" t="s">
        <v>984</v>
      </c>
      <c r="D1946">
        <v>715420</v>
      </c>
      <c r="E1946" t="s">
        <v>985</v>
      </c>
      <c r="F1946">
        <v>58.171999999999997</v>
      </c>
      <c r="G1946">
        <v>-116.3428</v>
      </c>
      <c r="H1946">
        <v>-7</v>
      </c>
      <c r="I1946">
        <v>323</v>
      </c>
      <c r="J1946" t="str">
        <f>HYPERLINK("https://climate.onebuilding.org/WMO_Region_4_North_and_Central_America/CAN_Canada/AB_Alberta/CAN_AB_La.Crete.AP.AgCM.715420_TMYx.2004-2018.zip")</f>
        <v>https://climate.onebuilding.org/WMO_Region_4_North_and_Central_America/CAN_Canada/AB_Alberta/CAN_AB_La.Crete.AP.AgCM.715420_TMYx.2004-2018.zip</v>
      </c>
    </row>
    <row r="1947" spans="1:10" x14ac:dyDescent="0.25">
      <c r="A1947" t="s">
        <v>6</v>
      </c>
      <c r="B1947" t="s">
        <v>17</v>
      </c>
      <c r="C1947" t="s">
        <v>984</v>
      </c>
      <c r="D1947">
        <v>715420</v>
      </c>
      <c r="E1947" t="s">
        <v>10</v>
      </c>
      <c r="F1947">
        <v>58.171999999999997</v>
      </c>
      <c r="G1947">
        <v>-116.3428</v>
      </c>
      <c r="H1947">
        <v>-7</v>
      </c>
      <c r="I1947">
        <v>323</v>
      </c>
      <c r="J1947" t="str">
        <f>HYPERLINK("https://climate.onebuilding.org/WMO_Region_4_North_and_Central_America/CAN_Canada/AB_Alberta/CAN_AB_La.Crete.AP.AgCM.715420_TMYx.2007-2021.zip")</f>
        <v>https://climate.onebuilding.org/WMO_Region_4_North_and_Central_America/CAN_Canada/AB_Alberta/CAN_AB_La.Crete.AP.AgCM.715420_TMYx.2007-2021.zip</v>
      </c>
    </row>
    <row r="1948" spans="1:10" x14ac:dyDescent="0.25">
      <c r="A1948" t="s">
        <v>6</v>
      </c>
      <c r="B1948" t="s">
        <v>17</v>
      </c>
      <c r="C1948" t="s">
        <v>984</v>
      </c>
      <c r="D1948">
        <v>715420</v>
      </c>
      <c r="E1948" t="s">
        <v>10</v>
      </c>
      <c r="F1948">
        <v>58.171999999999997</v>
      </c>
      <c r="G1948">
        <v>-116.3428</v>
      </c>
      <c r="H1948">
        <v>-7</v>
      </c>
      <c r="I1948">
        <v>323</v>
      </c>
      <c r="J1948" t="str">
        <f>HYPERLINK("https://climate.onebuilding.org/WMO_Region_4_North_and_Central_America/CAN_Canada/AB_Alberta/CAN_AB_La.Crete.AP.AgCM.715420_TMYx.2009-2023.zip")</f>
        <v>https://climate.onebuilding.org/WMO_Region_4_North_and_Central_America/CAN_Canada/AB_Alberta/CAN_AB_La.Crete.AP.AgCM.715420_TMYx.2009-2023.zip</v>
      </c>
    </row>
    <row r="1949" spans="1:10" x14ac:dyDescent="0.25">
      <c r="A1949" t="s">
        <v>6</v>
      </c>
      <c r="B1949" t="s">
        <v>17</v>
      </c>
      <c r="C1949" t="s">
        <v>984</v>
      </c>
      <c r="D1949">
        <v>715420</v>
      </c>
      <c r="E1949" t="s">
        <v>10</v>
      </c>
      <c r="F1949">
        <v>58.171999999999997</v>
      </c>
      <c r="G1949">
        <v>-116.3428</v>
      </c>
      <c r="H1949">
        <v>-7</v>
      </c>
      <c r="I1949">
        <v>323</v>
      </c>
      <c r="J1949" t="str">
        <f>HYPERLINK("https://climate.onebuilding.org/WMO_Region_4_North_and_Central_America/CAN_Canada/AB_Alberta/CAN_AB_La.Crete.AP.AgCM.715420_TMYx.zip")</f>
        <v>https://climate.onebuilding.org/WMO_Region_4_North_and_Central_America/CAN_Canada/AB_Alberta/CAN_AB_La.Crete.AP.AgCM.715420_TMYx.zip</v>
      </c>
    </row>
    <row r="1950" spans="1:10" x14ac:dyDescent="0.25">
      <c r="A1950" t="s">
        <v>6</v>
      </c>
      <c r="B1950" t="s">
        <v>17</v>
      </c>
      <c r="C1950" t="s">
        <v>986</v>
      </c>
      <c r="D1950">
        <v>715430</v>
      </c>
      <c r="E1950" t="s">
        <v>987</v>
      </c>
      <c r="F1950">
        <v>55.421999999999997</v>
      </c>
      <c r="G1950">
        <v>-119.2547</v>
      </c>
      <c r="H1950">
        <v>-7</v>
      </c>
      <c r="I1950">
        <v>760</v>
      </c>
      <c r="J1950" t="str">
        <f>HYPERLINK("https://climate.onebuilding.org/WMO_Region_4_North_and_Central_America/CAN_Canada/AB_Alberta/CAN_AB_La.Glace.AgCM.715430_TMYx.2004-2018.zip")</f>
        <v>https://climate.onebuilding.org/WMO_Region_4_North_and_Central_America/CAN_Canada/AB_Alberta/CAN_AB_La.Glace.AgCM.715430_TMYx.2004-2018.zip</v>
      </c>
    </row>
    <row r="1951" spans="1:10" x14ac:dyDescent="0.25">
      <c r="A1951" t="s">
        <v>6</v>
      </c>
      <c r="B1951" t="s">
        <v>17</v>
      </c>
      <c r="C1951" t="s">
        <v>986</v>
      </c>
      <c r="D1951">
        <v>715430</v>
      </c>
      <c r="E1951" t="s">
        <v>10</v>
      </c>
      <c r="F1951">
        <v>55.421999999999997</v>
      </c>
      <c r="G1951">
        <v>-119.2547</v>
      </c>
      <c r="H1951">
        <v>-7</v>
      </c>
      <c r="I1951">
        <v>760</v>
      </c>
      <c r="J1951" t="str">
        <f>HYPERLINK("https://climate.onebuilding.org/WMO_Region_4_North_and_Central_America/CAN_Canada/AB_Alberta/CAN_AB_La.Glace.AgCM.715430_TMYx.2007-2021.zip")</f>
        <v>https://climate.onebuilding.org/WMO_Region_4_North_and_Central_America/CAN_Canada/AB_Alberta/CAN_AB_La.Glace.AgCM.715430_TMYx.2007-2021.zip</v>
      </c>
    </row>
    <row r="1952" spans="1:10" x14ac:dyDescent="0.25">
      <c r="A1952" t="s">
        <v>6</v>
      </c>
      <c r="B1952" t="s">
        <v>17</v>
      </c>
      <c r="C1952" t="s">
        <v>986</v>
      </c>
      <c r="D1952">
        <v>715430</v>
      </c>
      <c r="E1952" t="s">
        <v>10</v>
      </c>
      <c r="F1952">
        <v>55.421999999999997</v>
      </c>
      <c r="G1952">
        <v>-119.2547</v>
      </c>
      <c r="H1952">
        <v>-7</v>
      </c>
      <c r="I1952">
        <v>760</v>
      </c>
      <c r="J1952" t="str">
        <f>HYPERLINK("https://climate.onebuilding.org/WMO_Region_4_North_and_Central_America/CAN_Canada/AB_Alberta/CAN_AB_La.Glace.AgCM.715430_TMYx.2009-2023.zip")</f>
        <v>https://climate.onebuilding.org/WMO_Region_4_North_and_Central_America/CAN_Canada/AB_Alberta/CAN_AB_La.Glace.AgCM.715430_TMYx.2009-2023.zip</v>
      </c>
    </row>
    <row r="1953" spans="1:10" x14ac:dyDescent="0.25">
      <c r="A1953" t="s">
        <v>6</v>
      </c>
      <c r="B1953" t="s">
        <v>17</v>
      </c>
      <c r="C1953" t="s">
        <v>986</v>
      </c>
      <c r="D1953">
        <v>715430</v>
      </c>
      <c r="E1953" t="s">
        <v>10</v>
      </c>
      <c r="F1953">
        <v>55.421999999999997</v>
      </c>
      <c r="G1953">
        <v>-119.2547</v>
      </c>
      <c r="H1953">
        <v>-7</v>
      </c>
      <c r="I1953">
        <v>760</v>
      </c>
      <c r="J1953" t="str">
        <f>HYPERLINK("https://climate.onebuilding.org/WMO_Region_4_North_and_Central_America/CAN_Canada/AB_Alberta/CAN_AB_La.Glace.AgCM.715430_TMYx.zip")</f>
        <v>https://climate.onebuilding.org/WMO_Region_4_North_and_Central_America/CAN_Canada/AB_Alberta/CAN_AB_La.Glace.AgCM.715430_TMYx.zip</v>
      </c>
    </row>
    <row r="1954" spans="1:10" x14ac:dyDescent="0.25">
      <c r="A1954" t="s">
        <v>6</v>
      </c>
      <c r="B1954" t="s">
        <v>17</v>
      </c>
      <c r="C1954" t="s">
        <v>988</v>
      </c>
      <c r="D1954">
        <v>715440</v>
      </c>
      <c r="E1954" t="s">
        <v>989</v>
      </c>
      <c r="F1954">
        <v>54.003100000000003</v>
      </c>
      <c r="G1954">
        <v>-113.4744</v>
      </c>
      <c r="H1954">
        <v>-7</v>
      </c>
      <c r="I1954">
        <v>680</v>
      </c>
      <c r="J1954" t="str">
        <f>HYPERLINK("https://climate.onebuilding.org/WMO_Region_4_North_and_Central_America/CAN_Canada/AB_Alberta/CAN_AB_Legal.AgCM.715440_TMYx.2004-2018.zip")</f>
        <v>https://climate.onebuilding.org/WMO_Region_4_North_and_Central_America/CAN_Canada/AB_Alberta/CAN_AB_Legal.AgCM.715440_TMYx.2004-2018.zip</v>
      </c>
    </row>
    <row r="1955" spans="1:10" x14ac:dyDescent="0.25">
      <c r="A1955" t="s">
        <v>6</v>
      </c>
      <c r="B1955" t="s">
        <v>17</v>
      </c>
      <c r="C1955" t="s">
        <v>988</v>
      </c>
      <c r="D1955">
        <v>715440</v>
      </c>
      <c r="E1955" t="s">
        <v>10</v>
      </c>
      <c r="F1955">
        <v>54.003100000000003</v>
      </c>
      <c r="G1955">
        <v>-113.4744</v>
      </c>
      <c r="H1955">
        <v>-7</v>
      </c>
      <c r="I1955">
        <v>680</v>
      </c>
      <c r="J1955" t="str">
        <f>HYPERLINK("https://climate.onebuilding.org/WMO_Region_4_North_and_Central_America/CAN_Canada/AB_Alberta/CAN_AB_Legal.AgCM.715440_TMYx.2007-2021.zip")</f>
        <v>https://climate.onebuilding.org/WMO_Region_4_North_and_Central_America/CAN_Canada/AB_Alberta/CAN_AB_Legal.AgCM.715440_TMYx.2007-2021.zip</v>
      </c>
    </row>
    <row r="1956" spans="1:10" x14ac:dyDescent="0.25">
      <c r="A1956" t="s">
        <v>6</v>
      </c>
      <c r="B1956" t="s">
        <v>17</v>
      </c>
      <c r="C1956" t="s">
        <v>988</v>
      </c>
      <c r="D1956">
        <v>715440</v>
      </c>
      <c r="E1956" t="s">
        <v>10</v>
      </c>
      <c r="F1956">
        <v>54.003100000000003</v>
      </c>
      <c r="G1956">
        <v>-113.4744</v>
      </c>
      <c r="H1956">
        <v>-7</v>
      </c>
      <c r="I1956">
        <v>680</v>
      </c>
      <c r="J1956" t="str">
        <f>HYPERLINK("https://climate.onebuilding.org/WMO_Region_4_North_and_Central_America/CAN_Canada/AB_Alberta/CAN_AB_Legal.AgCM.715440_TMYx.2009-2023.zip")</f>
        <v>https://climate.onebuilding.org/WMO_Region_4_North_and_Central_America/CAN_Canada/AB_Alberta/CAN_AB_Legal.AgCM.715440_TMYx.2009-2023.zip</v>
      </c>
    </row>
    <row r="1957" spans="1:10" x14ac:dyDescent="0.25">
      <c r="A1957" t="s">
        <v>6</v>
      </c>
      <c r="B1957" t="s">
        <v>17</v>
      </c>
      <c r="C1957" t="s">
        <v>988</v>
      </c>
      <c r="D1957">
        <v>715440</v>
      </c>
      <c r="E1957" t="s">
        <v>10</v>
      </c>
      <c r="F1957">
        <v>54.003100000000003</v>
      </c>
      <c r="G1957">
        <v>-113.4744</v>
      </c>
      <c r="H1957">
        <v>-7</v>
      </c>
      <c r="I1957">
        <v>680</v>
      </c>
      <c r="J1957" t="str">
        <f>HYPERLINK("https://climate.onebuilding.org/WMO_Region_4_North_and_Central_America/CAN_Canada/AB_Alberta/CAN_AB_Legal.AgCM.715440_TMYx.zip")</f>
        <v>https://climate.onebuilding.org/WMO_Region_4_North_and_Central_America/CAN_Canada/AB_Alberta/CAN_AB_Legal.AgCM.715440_TMYx.zip</v>
      </c>
    </row>
    <row r="1958" spans="1:10" x14ac:dyDescent="0.25">
      <c r="A1958" t="s">
        <v>6</v>
      </c>
      <c r="B1958" t="s">
        <v>17</v>
      </c>
      <c r="C1958" t="s">
        <v>990</v>
      </c>
      <c r="D1958">
        <v>715450</v>
      </c>
      <c r="E1958" t="s">
        <v>991</v>
      </c>
      <c r="F1958">
        <v>53.982999999999997</v>
      </c>
      <c r="G1958">
        <v>-112.867</v>
      </c>
      <c r="H1958">
        <v>-7</v>
      </c>
      <c r="I1958">
        <v>625</v>
      </c>
      <c r="J1958" t="str">
        <f>HYPERLINK("https://climate.onebuilding.org/WMO_Region_4_North_and_Central_America/CAN_Canada/AB_Alberta/CAN_AB_Radway.AgCM.715450_TMYx.2004-2018.zip")</f>
        <v>https://climate.onebuilding.org/WMO_Region_4_North_and_Central_America/CAN_Canada/AB_Alberta/CAN_AB_Radway.AgCM.715450_TMYx.2004-2018.zip</v>
      </c>
    </row>
    <row r="1959" spans="1:10" x14ac:dyDescent="0.25">
      <c r="A1959" t="s">
        <v>6</v>
      </c>
      <c r="B1959" t="s">
        <v>17</v>
      </c>
      <c r="C1959" t="s">
        <v>990</v>
      </c>
      <c r="D1959">
        <v>715450</v>
      </c>
      <c r="E1959" t="s">
        <v>10</v>
      </c>
      <c r="F1959">
        <v>53.994999999999997</v>
      </c>
      <c r="G1959">
        <v>-112.87909999999999</v>
      </c>
      <c r="H1959">
        <v>-7</v>
      </c>
      <c r="I1959">
        <v>625</v>
      </c>
      <c r="J1959" t="str">
        <f>HYPERLINK("https://climate.onebuilding.org/WMO_Region_4_North_and_Central_America/CAN_Canada/AB_Alberta/CAN_AB_Radway.AgCM.715450_TMYx.2007-2021.zip")</f>
        <v>https://climate.onebuilding.org/WMO_Region_4_North_and_Central_America/CAN_Canada/AB_Alberta/CAN_AB_Radway.AgCM.715450_TMYx.2007-2021.zip</v>
      </c>
    </row>
    <row r="1960" spans="1:10" x14ac:dyDescent="0.25">
      <c r="A1960" t="s">
        <v>6</v>
      </c>
      <c r="B1960" t="s">
        <v>17</v>
      </c>
      <c r="C1960" t="s">
        <v>990</v>
      </c>
      <c r="D1960">
        <v>715450</v>
      </c>
      <c r="E1960" t="s">
        <v>10</v>
      </c>
      <c r="F1960">
        <v>53.994999999999997</v>
      </c>
      <c r="G1960">
        <v>-112.87909999999999</v>
      </c>
      <c r="H1960">
        <v>-7</v>
      </c>
      <c r="I1960">
        <v>625</v>
      </c>
      <c r="J1960" t="str">
        <f>HYPERLINK("https://climate.onebuilding.org/WMO_Region_4_North_and_Central_America/CAN_Canada/AB_Alberta/CAN_AB_Radway.AgCM.715450_TMYx.2009-2023.zip")</f>
        <v>https://climate.onebuilding.org/WMO_Region_4_North_and_Central_America/CAN_Canada/AB_Alberta/CAN_AB_Radway.AgCM.715450_TMYx.2009-2023.zip</v>
      </c>
    </row>
    <row r="1961" spans="1:10" x14ac:dyDescent="0.25">
      <c r="A1961" t="s">
        <v>6</v>
      </c>
      <c r="B1961" t="s">
        <v>17</v>
      </c>
      <c r="C1961" t="s">
        <v>990</v>
      </c>
      <c r="D1961">
        <v>715450</v>
      </c>
      <c r="E1961" t="s">
        <v>10</v>
      </c>
      <c r="F1961">
        <v>53.994999999999997</v>
      </c>
      <c r="G1961">
        <v>-112.87909999999999</v>
      </c>
      <c r="H1961">
        <v>-7</v>
      </c>
      <c r="I1961">
        <v>625</v>
      </c>
      <c r="J1961" t="str">
        <f>HYPERLINK("https://climate.onebuilding.org/WMO_Region_4_North_and_Central_America/CAN_Canada/AB_Alberta/CAN_AB_Radway.AgCM.715450_TMYx.zip")</f>
        <v>https://climate.onebuilding.org/WMO_Region_4_North_and_Central_America/CAN_Canada/AB_Alberta/CAN_AB_Radway.AgCM.715450_TMYx.zip</v>
      </c>
    </row>
    <row r="1962" spans="1:10" x14ac:dyDescent="0.25">
      <c r="A1962" t="s">
        <v>6</v>
      </c>
      <c r="B1962" t="s">
        <v>17</v>
      </c>
      <c r="C1962" t="s">
        <v>992</v>
      </c>
      <c r="D1962">
        <v>715460</v>
      </c>
      <c r="E1962" t="s">
        <v>993</v>
      </c>
      <c r="F1962">
        <v>55.776699999999998</v>
      </c>
      <c r="G1962">
        <v>-118.6681</v>
      </c>
      <c r="H1962">
        <v>-7</v>
      </c>
      <c r="I1962">
        <v>575</v>
      </c>
      <c r="J1962" t="str">
        <f>HYPERLINK("https://climate.onebuilding.org/WMO_Region_4_North_and_Central_America/CAN_Canada/AB_Alberta/CAN_AB_Rycroft.AgCM.715460_TMYx.2004-2018.zip")</f>
        <v>https://climate.onebuilding.org/WMO_Region_4_North_and_Central_America/CAN_Canada/AB_Alberta/CAN_AB_Rycroft.AgCM.715460_TMYx.2004-2018.zip</v>
      </c>
    </row>
    <row r="1963" spans="1:10" x14ac:dyDescent="0.25">
      <c r="A1963" t="s">
        <v>6</v>
      </c>
      <c r="B1963" t="s">
        <v>17</v>
      </c>
      <c r="C1963" t="s">
        <v>992</v>
      </c>
      <c r="D1963">
        <v>715460</v>
      </c>
      <c r="E1963" t="s">
        <v>10</v>
      </c>
      <c r="F1963">
        <v>55.776699999999998</v>
      </c>
      <c r="G1963">
        <v>-118.6681</v>
      </c>
      <c r="H1963">
        <v>-7</v>
      </c>
      <c r="I1963">
        <v>575</v>
      </c>
      <c r="J1963" t="str">
        <f>HYPERLINK("https://climate.onebuilding.org/WMO_Region_4_North_and_Central_America/CAN_Canada/AB_Alberta/CAN_AB_Rycroft.AgCM.715460_TMYx.2007-2021.zip")</f>
        <v>https://climate.onebuilding.org/WMO_Region_4_North_and_Central_America/CAN_Canada/AB_Alberta/CAN_AB_Rycroft.AgCM.715460_TMYx.2007-2021.zip</v>
      </c>
    </row>
    <row r="1964" spans="1:10" x14ac:dyDescent="0.25">
      <c r="A1964" t="s">
        <v>6</v>
      </c>
      <c r="B1964" t="s">
        <v>17</v>
      </c>
      <c r="C1964" t="s">
        <v>992</v>
      </c>
      <c r="D1964">
        <v>715460</v>
      </c>
      <c r="E1964" t="s">
        <v>10</v>
      </c>
      <c r="F1964">
        <v>55.776699999999998</v>
      </c>
      <c r="G1964">
        <v>-118.6681</v>
      </c>
      <c r="H1964">
        <v>-7</v>
      </c>
      <c r="I1964">
        <v>575</v>
      </c>
      <c r="J1964" t="str">
        <f>HYPERLINK("https://climate.onebuilding.org/WMO_Region_4_North_and_Central_America/CAN_Canada/AB_Alberta/CAN_AB_Rycroft.AgCM.715460_TMYx.2009-2023.zip")</f>
        <v>https://climate.onebuilding.org/WMO_Region_4_North_and_Central_America/CAN_Canada/AB_Alberta/CAN_AB_Rycroft.AgCM.715460_TMYx.2009-2023.zip</v>
      </c>
    </row>
    <row r="1965" spans="1:10" x14ac:dyDescent="0.25">
      <c r="A1965" t="s">
        <v>6</v>
      </c>
      <c r="B1965" t="s">
        <v>17</v>
      </c>
      <c r="C1965" t="s">
        <v>992</v>
      </c>
      <c r="D1965">
        <v>715460</v>
      </c>
      <c r="E1965" t="s">
        <v>10</v>
      </c>
      <c r="F1965">
        <v>55.776699999999998</v>
      </c>
      <c r="G1965">
        <v>-118.6681</v>
      </c>
      <c r="H1965">
        <v>-7</v>
      </c>
      <c r="I1965">
        <v>575</v>
      </c>
      <c r="J1965" t="str">
        <f>HYPERLINK("https://climate.onebuilding.org/WMO_Region_4_North_and_Central_America/CAN_Canada/AB_Alberta/CAN_AB_Rycroft.AgCM.715460_TMYx.zip")</f>
        <v>https://climate.onebuilding.org/WMO_Region_4_North_and_Central_America/CAN_Canada/AB_Alberta/CAN_AB_Rycroft.AgCM.715460_TMYx.zip</v>
      </c>
    </row>
    <row r="1966" spans="1:10" x14ac:dyDescent="0.25">
      <c r="A1966" t="s">
        <v>6</v>
      </c>
      <c r="B1966" t="s">
        <v>17</v>
      </c>
      <c r="C1966" t="s">
        <v>994</v>
      </c>
      <c r="D1966">
        <v>715470</v>
      </c>
      <c r="E1966" t="s">
        <v>995</v>
      </c>
      <c r="F1966">
        <v>56.076099999999997</v>
      </c>
      <c r="G1966">
        <v>-119.3447</v>
      </c>
      <c r="H1966">
        <v>-7</v>
      </c>
      <c r="I1966">
        <v>703</v>
      </c>
      <c r="J1966" t="str">
        <f>HYPERLINK("https://climate.onebuilding.org/WMO_Region_4_North_and_Central_America/CAN_Canada/AB_Alberta/CAN_AB_Savanna.AgCM.715470_TMYx.2004-2018.zip")</f>
        <v>https://climate.onebuilding.org/WMO_Region_4_North_and_Central_America/CAN_Canada/AB_Alberta/CAN_AB_Savanna.AgCM.715470_TMYx.2004-2018.zip</v>
      </c>
    </row>
    <row r="1967" spans="1:10" x14ac:dyDescent="0.25">
      <c r="A1967" t="s">
        <v>6</v>
      </c>
      <c r="B1967" t="s">
        <v>17</v>
      </c>
      <c r="C1967" t="s">
        <v>994</v>
      </c>
      <c r="D1967">
        <v>715470</v>
      </c>
      <c r="E1967" t="s">
        <v>10</v>
      </c>
      <c r="F1967">
        <v>56.076099999999997</v>
      </c>
      <c r="G1967">
        <v>-119.3447</v>
      </c>
      <c r="H1967">
        <v>-7</v>
      </c>
      <c r="I1967">
        <v>703</v>
      </c>
      <c r="J1967" t="str">
        <f>HYPERLINK("https://climate.onebuilding.org/WMO_Region_4_North_and_Central_America/CAN_Canada/AB_Alberta/CAN_AB_Savanna.AgCM.715470_TMYx.2007-2021.zip")</f>
        <v>https://climate.onebuilding.org/WMO_Region_4_North_and_Central_America/CAN_Canada/AB_Alberta/CAN_AB_Savanna.AgCM.715470_TMYx.2007-2021.zip</v>
      </c>
    </row>
    <row r="1968" spans="1:10" x14ac:dyDescent="0.25">
      <c r="A1968" t="s">
        <v>6</v>
      </c>
      <c r="B1968" t="s">
        <v>17</v>
      </c>
      <c r="C1968" t="s">
        <v>994</v>
      </c>
      <c r="D1968">
        <v>715470</v>
      </c>
      <c r="E1968" t="s">
        <v>10</v>
      </c>
      <c r="F1968">
        <v>56.076099999999997</v>
      </c>
      <c r="G1968">
        <v>-119.3447</v>
      </c>
      <c r="H1968">
        <v>-7</v>
      </c>
      <c r="I1968">
        <v>703</v>
      </c>
      <c r="J1968" t="str">
        <f>HYPERLINK("https://climate.onebuilding.org/WMO_Region_4_North_and_Central_America/CAN_Canada/AB_Alberta/CAN_AB_Savanna.AgCM.715470_TMYx.2009-2023.zip")</f>
        <v>https://climate.onebuilding.org/WMO_Region_4_North_and_Central_America/CAN_Canada/AB_Alberta/CAN_AB_Savanna.AgCM.715470_TMYx.2009-2023.zip</v>
      </c>
    </row>
    <row r="1969" spans="1:10" x14ac:dyDescent="0.25">
      <c r="A1969" t="s">
        <v>6</v>
      </c>
      <c r="B1969" t="s">
        <v>17</v>
      </c>
      <c r="C1969" t="s">
        <v>994</v>
      </c>
      <c r="D1969">
        <v>715470</v>
      </c>
      <c r="E1969" t="s">
        <v>10</v>
      </c>
      <c r="F1969">
        <v>56.076099999999997</v>
      </c>
      <c r="G1969">
        <v>-119.3447</v>
      </c>
      <c r="H1969">
        <v>-7</v>
      </c>
      <c r="I1969">
        <v>703</v>
      </c>
      <c r="J1969" t="str">
        <f>HYPERLINK("https://climate.onebuilding.org/WMO_Region_4_North_and_Central_America/CAN_Canada/AB_Alberta/CAN_AB_Savanna.AgCM.715470_TMYx.zip")</f>
        <v>https://climate.onebuilding.org/WMO_Region_4_North_and_Central_America/CAN_Canada/AB_Alberta/CAN_AB_Savanna.AgCM.715470_TMYx.zip</v>
      </c>
    </row>
    <row r="1970" spans="1:10" x14ac:dyDescent="0.25">
      <c r="A1970" t="s">
        <v>6</v>
      </c>
      <c r="B1970" t="s">
        <v>17</v>
      </c>
      <c r="C1970" t="s">
        <v>996</v>
      </c>
      <c r="D1970">
        <v>715480</v>
      </c>
      <c r="E1970" t="s">
        <v>997</v>
      </c>
      <c r="F1970">
        <v>54.267000000000003</v>
      </c>
      <c r="G1970">
        <v>-111.45</v>
      </c>
      <c r="H1970">
        <v>-7</v>
      </c>
      <c r="I1970">
        <v>619</v>
      </c>
      <c r="J1970" t="str">
        <f>HYPERLINK("https://climate.onebuilding.org/WMO_Region_4_North_and_Central_America/CAN_Canada/AB_Alberta/CAN_AB_St.Lina.AgCM.715480_TMYx.2004-2018.zip")</f>
        <v>https://climate.onebuilding.org/WMO_Region_4_North_and_Central_America/CAN_Canada/AB_Alberta/CAN_AB_St.Lina.AgCM.715480_TMYx.2004-2018.zip</v>
      </c>
    </row>
    <row r="1971" spans="1:10" x14ac:dyDescent="0.25">
      <c r="A1971" t="s">
        <v>6</v>
      </c>
      <c r="B1971" t="s">
        <v>17</v>
      </c>
      <c r="C1971" t="s">
        <v>996</v>
      </c>
      <c r="D1971">
        <v>715480</v>
      </c>
      <c r="E1971" t="s">
        <v>10</v>
      </c>
      <c r="F1971">
        <v>54.282220000000002</v>
      </c>
      <c r="G1971">
        <v>-111.453</v>
      </c>
      <c r="H1971">
        <v>-7</v>
      </c>
      <c r="I1971">
        <v>619</v>
      </c>
      <c r="J1971" t="str">
        <f>HYPERLINK("https://climate.onebuilding.org/WMO_Region_4_North_and_Central_America/CAN_Canada/AB_Alberta/CAN_AB_St.Lina.AgCM.715480_TMYx.2007-2021.zip")</f>
        <v>https://climate.onebuilding.org/WMO_Region_4_North_and_Central_America/CAN_Canada/AB_Alberta/CAN_AB_St.Lina.AgCM.715480_TMYx.2007-2021.zip</v>
      </c>
    </row>
    <row r="1972" spans="1:10" x14ac:dyDescent="0.25">
      <c r="A1972" t="s">
        <v>6</v>
      </c>
      <c r="B1972" t="s">
        <v>17</v>
      </c>
      <c r="C1972" t="s">
        <v>996</v>
      </c>
      <c r="D1972">
        <v>715480</v>
      </c>
      <c r="E1972" t="s">
        <v>10</v>
      </c>
      <c r="F1972">
        <v>54.282220000000002</v>
      </c>
      <c r="G1972">
        <v>-111.453</v>
      </c>
      <c r="H1972">
        <v>-7</v>
      </c>
      <c r="I1972">
        <v>619</v>
      </c>
      <c r="J1972" t="str">
        <f>HYPERLINK("https://climate.onebuilding.org/WMO_Region_4_North_and_Central_America/CAN_Canada/AB_Alberta/CAN_AB_St.Lina.AgCM.715480_TMYx.2009-2023.zip")</f>
        <v>https://climate.onebuilding.org/WMO_Region_4_North_and_Central_America/CAN_Canada/AB_Alberta/CAN_AB_St.Lina.AgCM.715480_TMYx.2009-2023.zip</v>
      </c>
    </row>
    <row r="1973" spans="1:10" x14ac:dyDescent="0.25">
      <c r="A1973" t="s">
        <v>6</v>
      </c>
      <c r="B1973" t="s">
        <v>17</v>
      </c>
      <c r="C1973" t="s">
        <v>996</v>
      </c>
      <c r="D1973">
        <v>715480</v>
      </c>
      <c r="E1973" t="s">
        <v>10</v>
      </c>
      <c r="F1973">
        <v>54.282220000000002</v>
      </c>
      <c r="G1973">
        <v>-111.453</v>
      </c>
      <c r="H1973">
        <v>-7</v>
      </c>
      <c r="I1973">
        <v>619</v>
      </c>
      <c r="J1973" t="str">
        <f>HYPERLINK("https://climate.onebuilding.org/WMO_Region_4_North_and_Central_America/CAN_Canada/AB_Alberta/CAN_AB_St.Lina.AgCM.715480_TMYx.zip")</f>
        <v>https://climate.onebuilding.org/WMO_Region_4_North_and_Central_America/CAN_Canada/AB_Alberta/CAN_AB_St.Lina.AgCM.715480_TMYx.zip</v>
      </c>
    </row>
    <row r="1974" spans="1:10" x14ac:dyDescent="0.25">
      <c r="A1974" t="s">
        <v>6</v>
      </c>
      <c r="B1974" t="s">
        <v>17</v>
      </c>
      <c r="C1974" t="s">
        <v>998</v>
      </c>
      <c r="D1974">
        <v>715490</v>
      </c>
      <c r="E1974" t="s">
        <v>999</v>
      </c>
      <c r="F1974">
        <v>54.283000000000001</v>
      </c>
      <c r="G1974">
        <v>-113.517</v>
      </c>
      <c r="H1974">
        <v>-7</v>
      </c>
      <c r="I1974">
        <v>611</v>
      </c>
      <c r="J1974" t="str">
        <f>HYPERLINK("https://climate.onebuilding.org/WMO_Region_4_North_and_Central_America/CAN_Canada/AB_Alberta/CAN_AB_Tawatinaw.AgCM.715490_TMYx.2004-2018.zip")</f>
        <v>https://climate.onebuilding.org/WMO_Region_4_North_and_Central_America/CAN_Canada/AB_Alberta/CAN_AB_Tawatinaw.AgCM.715490_TMYx.2004-2018.zip</v>
      </c>
    </row>
    <row r="1975" spans="1:10" x14ac:dyDescent="0.25">
      <c r="A1975" t="s">
        <v>6</v>
      </c>
      <c r="B1975" t="s">
        <v>17</v>
      </c>
      <c r="C1975" t="s">
        <v>998</v>
      </c>
      <c r="D1975">
        <v>715490</v>
      </c>
      <c r="E1975" t="s">
        <v>10</v>
      </c>
      <c r="F1975">
        <v>54.299720000000001</v>
      </c>
      <c r="G1975">
        <v>-113.52030000000001</v>
      </c>
      <c r="H1975">
        <v>-7</v>
      </c>
      <c r="I1975">
        <v>611</v>
      </c>
      <c r="J1975" t="str">
        <f>HYPERLINK("https://climate.onebuilding.org/WMO_Region_4_North_and_Central_America/CAN_Canada/AB_Alberta/CAN_AB_Tawatinaw.AgCM.715490_TMYx.2007-2021.zip")</f>
        <v>https://climate.onebuilding.org/WMO_Region_4_North_and_Central_America/CAN_Canada/AB_Alberta/CAN_AB_Tawatinaw.AgCM.715490_TMYx.2007-2021.zip</v>
      </c>
    </row>
    <row r="1976" spans="1:10" x14ac:dyDescent="0.25">
      <c r="A1976" t="s">
        <v>6</v>
      </c>
      <c r="B1976" t="s">
        <v>17</v>
      </c>
      <c r="C1976" t="s">
        <v>998</v>
      </c>
      <c r="D1976">
        <v>715490</v>
      </c>
      <c r="E1976" t="s">
        <v>10</v>
      </c>
      <c r="F1976">
        <v>54.299720000000001</v>
      </c>
      <c r="G1976">
        <v>-113.52030000000001</v>
      </c>
      <c r="H1976">
        <v>-7</v>
      </c>
      <c r="I1976">
        <v>611</v>
      </c>
      <c r="J1976" t="str">
        <f>HYPERLINK("https://climate.onebuilding.org/WMO_Region_4_North_and_Central_America/CAN_Canada/AB_Alberta/CAN_AB_Tawatinaw.AgCM.715490_TMYx.2009-2023.zip")</f>
        <v>https://climate.onebuilding.org/WMO_Region_4_North_and_Central_America/CAN_Canada/AB_Alberta/CAN_AB_Tawatinaw.AgCM.715490_TMYx.2009-2023.zip</v>
      </c>
    </row>
    <row r="1977" spans="1:10" x14ac:dyDescent="0.25">
      <c r="A1977" t="s">
        <v>6</v>
      </c>
      <c r="B1977" t="s">
        <v>17</v>
      </c>
      <c r="C1977" t="s">
        <v>998</v>
      </c>
      <c r="D1977">
        <v>715490</v>
      </c>
      <c r="E1977" t="s">
        <v>10</v>
      </c>
      <c r="F1977">
        <v>54.299720000000001</v>
      </c>
      <c r="G1977">
        <v>-113.52030000000001</v>
      </c>
      <c r="H1977">
        <v>-7</v>
      </c>
      <c r="I1977">
        <v>611</v>
      </c>
      <c r="J1977" t="str">
        <f>HYPERLINK("https://climate.onebuilding.org/WMO_Region_4_North_and_Central_America/CAN_Canada/AB_Alberta/CAN_AB_Tawatinaw.AgCM.715490_TMYx.zip")</f>
        <v>https://climate.onebuilding.org/WMO_Region_4_North_and_Central_America/CAN_Canada/AB_Alberta/CAN_AB_Tawatinaw.AgCM.715490_TMYx.zip</v>
      </c>
    </row>
    <row r="1978" spans="1:10" x14ac:dyDescent="0.25">
      <c r="A1978" t="s">
        <v>6</v>
      </c>
      <c r="B1978" t="s">
        <v>94</v>
      </c>
      <c r="C1978" t="s">
        <v>1000</v>
      </c>
      <c r="D1978">
        <v>715500</v>
      </c>
      <c r="E1978" t="s">
        <v>1001</v>
      </c>
      <c r="F1978">
        <v>51.100299999999997</v>
      </c>
      <c r="G1978">
        <v>-100.0569</v>
      </c>
      <c r="H1978">
        <v>-6</v>
      </c>
      <c r="I1978">
        <v>304.5</v>
      </c>
      <c r="J1978" t="str">
        <f>HYPERLINK("https://climate.onebuilding.org/WMO_Region_4_North_and_Central_America/CAN_Canada/MB_Manitoba/CAN_MB_Dauphin.CS.715500_TMYx.2004-2018.zip")</f>
        <v>https://climate.onebuilding.org/WMO_Region_4_North_and_Central_America/CAN_Canada/MB_Manitoba/CAN_MB_Dauphin.CS.715500_TMYx.2004-2018.zip</v>
      </c>
    </row>
    <row r="1979" spans="1:10" x14ac:dyDescent="0.25">
      <c r="A1979" t="s">
        <v>6</v>
      </c>
      <c r="B1979" t="s">
        <v>94</v>
      </c>
      <c r="C1979" t="s">
        <v>1000</v>
      </c>
      <c r="D1979">
        <v>715500</v>
      </c>
      <c r="E1979" t="s">
        <v>10</v>
      </c>
      <c r="F1979">
        <v>51.100299999999997</v>
      </c>
      <c r="G1979">
        <v>-100.0569</v>
      </c>
      <c r="H1979">
        <v>-6</v>
      </c>
      <c r="I1979">
        <v>304.5</v>
      </c>
      <c r="J1979" t="str">
        <f>HYPERLINK("https://climate.onebuilding.org/WMO_Region_4_North_and_Central_America/CAN_Canada/MB_Manitoba/CAN_MB_Dauphin.CS.715500_TMYx.2007-2021.zip")</f>
        <v>https://climate.onebuilding.org/WMO_Region_4_North_and_Central_America/CAN_Canada/MB_Manitoba/CAN_MB_Dauphin.CS.715500_TMYx.2007-2021.zip</v>
      </c>
    </row>
    <row r="1980" spans="1:10" x14ac:dyDescent="0.25">
      <c r="A1980" t="s">
        <v>6</v>
      </c>
      <c r="B1980" t="s">
        <v>94</v>
      </c>
      <c r="C1980" t="s">
        <v>1000</v>
      </c>
      <c r="D1980">
        <v>715500</v>
      </c>
      <c r="E1980" t="s">
        <v>10</v>
      </c>
      <c r="F1980">
        <v>51.100299999999997</v>
      </c>
      <c r="G1980">
        <v>-100.0569</v>
      </c>
      <c r="H1980">
        <v>-6</v>
      </c>
      <c r="I1980">
        <v>304.5</v>
      </c>
      <c r="J1980" t="str">
        <f>HYPERLINK("https://climate.onebuilding.org/WMO_Region_4_North_and_Central_America/CAN_Canada/MB_Manitoba/CAN_MB_Dauphin.CS.715500_TMYx.2009-2023.zip")</f>
        <v>https://climate.onebuilding.org/WMO_Region_4_North_and_Central_America/CAN_Canada/MB_Manitoba/CAN_MB_Dauphin.CS.715500_TMYx.2009-2023.zip</v>
      </c>
    </row>
    <row r="1981" spans="1:10" x14ac:dyDescent="0.25">
      <c r="A1981" t="s">
        <v>6</v>
      </c>
      <c r="B1981" t="s">
        <v>94</v>
      </c>
      <c r="C1981" t="s">
        <v>1000</v>
      </c>
      <c r="D1981">
        <v>715500</v>
      </c>
      <c r="E1981" t="s">
        <v>10</v>
      </c>
      <c r="F1981">
        <v>51.100299999999997</v>
      </c>
      <c r="G1981">
        <v>-100.0569</v>
      </c>
      <c r="H1981">
        <v>-6</v>
      </c>
      <c r="I1981">
        <v>304.5</v>
      </c>
      <c r="J1981" t="str">
        <f>HYPERLINK("https://climate.onebuilding.org/WMO_Region_4_North_and_Central_America/CAN_Canada/MB_Manitoba/CAN_MB_Dauphin.CS.715500_TMYx.zip")</f>
        <v>https://climate.onebuilding.org/WMO_Region_4_North_and_Central_America/CAN_Canada/MB_Manitoba/CAN_MB_Dauphin.CS.715500_TMYx.zip</v>
      </c>
    </row>
    <row r="1982" spans="1:10" x14ac:dyDescent="0.25">
      <c r="A1982" t="s">
        <v>6</v>
      </c>
      <c r="B1982" t="s">
        <v>58</v>
      </c>
      <c r="C1982" t="s">
        <v>1002</v>
      </c>
      <c r="D1982">
        <v>715510</v>
      </c>
      <c r="E1982" t="s">
        <v>1003</v>
      </c>
      <c r="F1982">
        <v>51.4833</v>
      </c>
      <c r="G1982">
        <v>-107.05</v>
      </c>
      <c r="H1982">
        <v>-6</v>
      </c>
      <c r="I1982">
        <v>541</v>
      </c>
      <c r="J1982" t="str">
        <f>HYPERLINK("https://climate.onebuilding.org/WMO_Region_4_North_and_Central_America/CAN_Canada/SK_Saskatchewan/CAN_SK_Outlook.715510_TMYx.2004-2018.zip")</f>
        <v>https://climate.onebuilding.org/WMO_Region_4_North_and_Central_America/CAN_Canada/SK_Saskatchewan/CAN_SK_Outlook.715510_TMYx.2004-2018.zip</v>
      </c>
    </row>
    <row r="1983" spans="1:10" x14ac:dyDescent="0.25">
      <c r="A1983" t="s">
        <v>6</v>
      </c>
      <c r="B1983" t="s">
        <v>58</v>
      </c>
      <c r="C1983" t="s">
        <v>1002</v>
      </c>
      <c r="D1983">
        <v>715510</v>
      </c>
      <c r="E1983" t="s">
        <v>10</v>
      </c>
      <c r="F1983">
        <v>51.48</v>
      </c>
      <c r="G1983">
        <v>-107.05</v>
      </c>
      <c r="H1983">
        <v>-6</v>
      </c>
      <c r="I1983">
        <v>541</v>
      </c>
      <c r="J1983" t="str">
        <f>HYPERLINK("https://climate.onebuilding.org/WMO_Region_4_North_and_Central_America/CAN_Canada/SK_Saskatchewan/CAN_SK_Outlook.715510_TMYx.2007-2021.zip")</f>
        <v>https://climate.onebuilding.org/WMO_Region_4_North_and_Central_America/CAN_Canada/SK_Saskatchewan/CAN_SK_Outlook.715510_TMYx.2007-2021.zip</v>
      </c>
    </row>
    <row r="1984" spans="1:10" x14ac:dyDescent="0.25">
      <c r="A1984" t="s">
        <v>6</v>
      </c>
      <c r="B1984" t="s">
        <v>58</v>
      </c>
      <c r="C1984" t="s">
        <v>1002</v>
      </c>
      <c r="D1984">
        <v>715510</v>
      </c>
      <c r="E1984" t="s">
        <v>10</v>
      </c>
      <c r="F1984">
        <v>51.48</v>
      </c>
      <c r="G1984">
        <v>-107.05</v>
      </c>
      <c r="H1984">
        <v>-6</v>
      </c>
      <c r="I1984">
        <v>541</v>
      </c>
      <c r="J1984" t="str">
        <f>HYPERLINK("https://climate.onebuilding.org/WMO_Region_4_North_and_Central_America/CAN_Canada/SK_Saskatchewan/CAN_SK_Outlook.715510_TMYx.2009-2023.zip")</f>
        <v>https://climate.onebuilding.org/WMO_Region_4_North_and_Central_America/CAN_Canada/SK_Saskatchewan/CAN_SK_Outlook.715510_TMYx.2009-2023.zip</v>
      </c>
    </row>
    <row r="1985" spans="1:10" x14ac:dyDescent="0.25">
      <c r="A1985" t="s">
        <v>6</v>
      </c>
      <c r="B1985" t="s">
        <v>58</v>
      </c>
      <c r="C1985" t="s">
        <v>1002</v>
      </c>
      <c r="D1985">
        <v>715510</v>
      </c>
      <c r="E1985" t="s">
        <v>10</v>
      </c>
      <c r="F1985">
        <v>51.48</v>
      </c>
      <c r="G1985">
        <v>-107.05</v>
      </c>
      <c r="H1985">
        <v>-6</v>
      </c>
      <c r="I1985">
        <v>541</v>
      </c>
      <c r="J1985" t="str">
        <f>HYPERLINK("https://climate.onebuilding.org/WMO_Region_4_North_and_Central_America/CAN_Canada/SK_Saskatchewan/CAN_SK_Outlook.715510_TMYx.zip")</f>
        <v>https://climate.onebuilding.org/WMO_Region_4_North_and_Central_America/CAN_Canada/SK_Saskatchewan/CAN_SK_Outlook.715510_TMYx.zip</v>
      </c>
    </row>
    <row r="1986" spans="1:10" x14ac:dyDescent="0.25">
      <c r="A1986" t="s">
        <v>6</v>
      </c>
      <c r="B1986" t="s">
        <v>94</v>
      </c>
      <c r="C1986" t="s">
        <v>1004</v>
      </c>
      <c r="D1986">
        <v>715520</v>
      </c>
      <c r="E1986" t="s">
        <v>1005</v>
      </c>
      <c r="F1986">
        <v>50.7</v>
      </c>
      <c r="G1986">
        <v>-96.566699999999997</v>
      </c>
      <c r="H1986">
        <v>-6</v>
      </c>
      <c r="I1986">
        <v>220.1</v>
      </c>
      <c r="J1986" t="str">
        <f>HYPERLINK("https://climate.onebuilding.org/WMO_Region_4_North_and_Central_America/CAN_Canada/MB_Manitoba/CAN_MB_Victoria.Beach.715520_TMYx.2004-2018.zip")</f>
        <v>https://climate.onebuilding.org/WMO_Region_4_North_and_Central_America/CAN_Canada/MB_Manitoba/CAN_MB_Victoria.Beach.715520_TMYx.2004-2018.zip</v>
      </c>
    </row>
    <row r="1987" spans="1:10" x14ac:dyDescent="0.25">
      <c r="A1987" t="s">
        <v>6</v>
      </c>
      <c r="B1987" t="s">
        <v>94</v>
      </c>
      <c r="C1987" t="s">
        <v>1004</v>
      </c>
      <c r="D1987">
        <v>715520</v>
      </c>
      <c r="E1987" t="s">
        <v>10</v>
      </c>
      <c r="F1987">
        <v>50.694400000000002</v>
      </c>
      <c r="G1987">
        <v>-96.5625</v>
      </c>
      <c r="H1987">
        <v>-6</v>
      </c>
      <c r="I1987">
        <v>220.1</v>
      </c>
      <c r="J1987" t="str">
        <f>HYPERLINK("https://climate.onebuilding.org/WMO_Region_4_North_and_Central_America/CAN_Canada/MB_Manitoba/CAN_MB_Victoria.Beach.715520_TMYx.2007-2021.zip")</f>
        <v>https://climate.onebuilding.org/WMO_Region_4_North_and_Central_America/CAN_Canada/MB_Manitoba/CAN_MB_Victoria.Beach.715520_TMYx.2007-2021.zip</v>
      </c>
    </row>
    <row r="1988" spans="1:10" x14ac:dyDescent="0.25">
      <c r="A1988" t="s">
        <v>6</v>
      </c>
      <c r="B1988" t="s">
        <v>94</v>
      </c>
      <c r="C1988" t="s">
        <v>1004</v>
      </c>
      <c r="D1988">
        <v>715520</v>
      </c>
      <c r="E1988" t="s">
        <v>10</v>
      </c>
      <c r="F1988">
        <v>50.694400000000002</v>
      </c>
      <c r="G1988">
        <v>-96.5625</v>
      </c>
      <c r="H1988">
        <v>-6</v>
      </c>
      <c r="I1988">
        <v>220.1</v>
      </c>
      <c r="J1988" t="str">
        <f>HYPERLINK("https://climate.onebuilding.org/WMO_Region_4_North_and_Central_America/CAN_Canada/MB_Manitoba/CAN_MB_Victoria.Beach.715520_TMYx.2009-2023.zip")</f>
        <v>https://climate.onebuilding.org/WMO_Region_4_North_and_Central_America/CAN_Canada/MB_Manitoba/CAN_MB_Victoria.Beach.715520_TMYx.2009-2023.zip</v>
      </c>
    </row>
    <row r="1989" spans="1:10" x14ac:dyDescent="0.25">
      <c r="A1989" t="s">
        <v>6</v>
      </c>
      <c r="B1989" t="s">
        <v>94</v>
      </c>
      <c r="C1989" t="s">
        <v>1004</v>
      </c>
      <c r="D1989">
        <v>715520</v>
      </c>
      <c r="E1989" t="s">
        <v>10</v>
      </c>
      <c r="F1989">
        <v>50.694400000000002</v>
      </c>
      <c r="G1989">
        <v>-96.5625</v>
      </c>
      <c r="H1989">
        <v>-6</v>
      </c>
      <c r="I1989">
        <v>220.1</v>
      </c>
      <c r="J1989" t="str">
        <f>HYPERLINK("https://climate.onebuilding.org/WMO_Region_4_North_and_Central_America/CAN_Canada/MB_Manitoba/CAN_MB_Victoria.Beach.715520_TMYx.zip")</f>
        <v>https://climate.onebuilding.org/WMO_Region_4_North_and_Central_America/CAN_Canada/MB_Manitoba/CAN_MB_Victoria.Beach.715520_TMYx.zip</v>
      </c>
    </row>
    <row r="1990" spans="1:10" x14ac:dyDescent="0.25">
      <c r="A1990" t="s">
        <v>6</v>
      </c>
      <c r="B1990" t="s">
        <v>94</v>
      </c>
      <c r="C1990" t="s">
        <v>1006</v>
      </c>
      <c r="D1990">
        <v>715530</v>
      </c>
      <c r="E1990" t="s">
        <v>1007</v>
      </c>
      <c r="F1990">
        <v>51.183300000000003</v>
      </c>
      <c r="G1990">
        <v>-101.36279999999999</v>
      </c>
      <c r="H1990">
        <v>-6</v>
      </c>
      <c r="I1990">
        <v>539.5</v>
      </c>
      <c r="J1990" t="str">
        <f>HYPERLINK("https://climate.onebuilding.org/WMO_Region_4_North_and_Central_America/CAN_Canada/MB_Manitoba/CAN_MB_Roblin.715530_TMYx.2004-2018.zip")</f>
        <v>https://climate.onebuilding.org/WMO_Region_4_North_and_Central_America/CAN_Canada/MB_Manitoba/CAN_MB_Roblin.715530_TMYx.2004-2018.zip</v>
      </c>
    </row>
    <row r="1991" spans="1:10" x14ac:dyDescent="0.25">
      <c r="A1991" t="s">
        <v>6</v>
      </c>
      <c r="B1991" t="s">
        <v>94</v>
      </c>
      <c r="C1991" t="s">
        <v>1006</v>
      </c>
      <c r="D1991">
        <v>715530</v>
      </c>
      <c r="E1991" t="s">
        <v>10</v>
      </c>
      <c r="F1991">
        <v>51.183300000000003</v>
      </c>
      <c r="G1991">
        <v>-101.36279999999999</v>
      </c>
      <c r="H1991">
        <v>-6</v>
      </c>
      <c r="I1991">
        <v>539.5</v>
      </c>
      <c r="J1991" t="str">
        <f>HYPERLINK("https://climate.onebuilding.org/WMO_Region_4_North_and_Central_America/CAN_Canada/MB_Manitoba/CAN_MB_Roblin.715530_TMYx.2007-2021.zip")</f>
        <v>https://climate.onebuilding.org/WMO_Region_4_North_and_Central_America/CAN_Canada/MB_Manitoba/CAN_MB_Roblin.715530_TMYx.2007-2021.zip</v>
      </c>
    </row>
    <row r="1992" spans="1:10" x14ac:dyDescent="0.25">
      <c r="A1992" t="s">
        <v>6</v>
      </c>
      <c r="B1992" t="s">
        <v>94</v>
      </c>
      <c r="C1992" t="s">
        <v>1006</v>
      </c>
      <c r="D1992">
        <v>715530</v>
      </c>
      <c r="E1992" t="s">
        <v>10</v>
      </c>
      <c r="F1992">
        <v>51.183300000000003</v>
      </c>
      <c r="G1992">
        <v>-101.36279999999999</v>
      </c>
      <c r="H1992">
        <v>-6</v>
      </c>
      <c r="I1992">
        <v>539.5</v>
      </c>
      <c r="J1992" t="str">
        <f>HYPERLINK("https://climate.onebuilding.org/WMO_Region_4_North_and_Central_America/CAN_Canada/MB_Manitoba/CAN_MB_Roblin.715530_TMYx.2009-2023.zip")</f>
        <v>https://climate.onebuilding.org/WMO_Region_4_North_and_Central_America/CAN_Canada/MB_Manitoba/CAN_MB_Roblin.715530_TMYx.2009-2023.zip</v>
      </c>
    </row>
    <row r="1993" spans="1:10" x14ac:dyDescent="0.25">
      <c r="A1993" t="s">
        <v>6</v>
      </c>
      <c r="B1993" t="s">
        <v>94</v>
      </c>
      <c r="C1993" t="s">
        <v>1006</v>
      </c>
      <c r="D1993">
        <v>715530</v>
      </c>
      <c r="E1993" t="s">
        <v>10</v>
      </c>
      <c r="F1993">
        <v>51.183300000000003</v>
      </c>
      <c r="G1993">
        <v>-101.36279999999999</v>
      </c>
      <c r="H1993">
        <v>-6</v>
      </c>
      <c r="I1993">
        <v>539.5</v>
      </c>
      <c r="J1993" t="str">
        <f>HYPERLINK("https://climate.onebuilding.org/WMO_Region_4_North_and_Central_America/CAN_Canada/MB_Manitoba/CAN_MB_Roblin.715530_TMYx.zip")</f>
        <v>https://climate.onebuilding.org/WMO_Region_4_North_and_Central_America/CAN_Canada/MB_Manitoba/CAN_MB_Roblin.715530_TMYx.zip</v>
      </c>
    </row>
    <row r="1994" spans="1:10" x14ac:dyDescent="0.25">
      <c r="A1994" t="s">
        <v>6</v>
      </c>
      <c r="B1994" t="s">
        <v>14</v>
      </c>
      <c r="C1994" t="s">
        <v>1008</v>
      </c>
      <c r="D1994">
        <v>715540</v>
      </c>
      <c r="E1994" t="s">
        <v>1009</v>
      </c>
      <c r="F1994">
        <v>48.5139</v>
      </c>
      <c r="G1994">
        <v>-68.468299999999999</v>
      </c>
      <c r="H1994">
        <v>-5</v>
      </c>
      <c r="I1994">
        <v>4.9000000000000004</v>
      </c>
      <c r="J1994" t="str">
        <f>HYPERLINK("https://climate.onebuilding.org/WMO_Region_4_North_and_Central_America/CAN_Canada/QC_Quebec/CAN_QC_Pointe.au.Pere.715540_TMYx.2004-2018.zip")</f>
        <v>https://climate.onebuilding.org/WMO_Region_4_North_and_Central_America/CAN_Canada/QC_Quebec/CAN_QC_Pointe.au.Pere.715540_TMYx.2004-2018.zip</v>
      </c>
    </row>
    <row r="1995" spans="1:10" x14ac:dyDescent="0.25">
      <c r="A1995" t="s">
        <v>6</v>
      </c>
      <c r="B1995" t="s">
        <v>14</v>
      </c>
      <c r="C1995" t="s">
        <v>1008</v>
      </c>
      <c r="D1995">
        <v>715540</v>
      </c>
      <c r="E1995" t="s">
        <v>10</v>
      </c>
      <c r="F1995">
        <v>48.5139</v>
      </c>
      <c r="G1995">
        <v>-68.468299999999999</v>
      </c>
      <c r="H1995">
        <v>-5</v>
      </c>
      <c r="I1995">
        <v>4.9000000000000004</v>
      </c>
      <c r="J1995" t="str">
        <f>HYPERLINK("https://climate.onebuilding.org/WMO_Region_4_North_and_Central_America/CAN_Canada/QC_Quebec/CAN_QC_Pointe.au.Pere.715540_TMYx.2007-2021.zip")</f>
        <v>https://climate.onebuilding.org/WMO_Region_4_North_and_Central_America/CAN_Canada/QC_Quebec/CAN_QC_Pointe.au.Pere.715540_TMYx.2007-2021.zip</v>
      </c>
    </row>
    <row r="1996" spans="1:10" x14ac:dyDescent="0.25">
      <c r="A1996" t="s">
        <v>6</v>
      </c>
      <c r="B1996" t="s">
        <v>14</v>
      </c>
      <c r="C1996" t="s">
        <v>1008</v>
      </c>
      <c r="D1996">
        <v>715540</v>
      </c>
      <c r="E1996" t="s">
        <v>10</v>
      </c>
      <c r="F1996">
        <v>48.5139</v>
      </c>
      <c r="G1996">
        <v>-68.468299999999999</v>
      </c>
      <c r="H1996">
        <v>-5</v>
      </c>
      <c r="I1996">
        <v>4.9000000000000004</v>
      </c>
      <c r="J1996" t="str">
        <f>HYPERLINK("https://climate.onebuilding.org/WMO_Region_4_North_and_Central_America/CAN_Canada/QC_Quebec/CAN_QC_Pointe.au.Pere.715540_TMYx.2009-2023.zip")</f>
        <v>https://climate.onebuilding.org/WMO_Region_4_North_and_Central_America/CAN_Canada/QC_Quebec/CAN_QC_Pointe.au.Pere.715540_TMYx.2009-2023.zip</v>
      </c>
    </row>
    <row r="1997" spans="1:10" x14ac:dyDescent="0.25">
      <c r="A1997" t="s">
        <v>6</v>
      </c>
      <c r="B1997" t="s">
        <v>14</v>
      </c>
      <c r="C1997" t="s">
        <v>1008</v>
      </c>
      <c r="D1997">
        <v>715540</v>
      </c>
      <c r="E1997" t="s">
        <v>10</v>
      </c>
      <c r="F1997">
        <v>48.5139</v>
      </c>
      <c r="G1997">
        <v>-68.468299999999999</v>
      </c>
      <c r="H1997">
        <v>-5</v>
      </c>
      <c r="I1997">
        <v>4.9000000000000004</v>
      </c>
      <c r="J1997" t="str">
        <f>HYPERLINK("https://climate.onebuilding.org/WMO_Region_4_North_and_Central_America/CAN_Canada/QC_Quebec/CAN_QC_Pointe.au.Pere.715540_TMYx.zip")</f>
        <v>https://climate.onebuilding.org/WMO_Region_4_North_and_Central_America/CAN_Canada/QC_Quebec/CAN_QC_Pointe.au.Pere.715540_TMYx.zip</v>
      </c>
    </row>
    <row r="1998" spans="1:10" x14ac:dyDescent="0.25">
      <c r="A1998" t="s">
        <v>6</v>
      </c>
      <c r="B1998" t="s">
        <v>17</v>
      </c>
      <c r="C1998" t="s">
        <v>1010</v>
      </c>
      <c r="D1998">
        <v>715550</v>
      </c>
      <c r="E1998" t="s">
        <v>1011</v>
      </c>
      <c r="F1998">
        <v>50.183300000000003</v>
      </c>
      <c r="G1998">
        <v>-113.88330000000001</v>
      </c>
      <c r="H1998">
        <v>-7</v>
      </c>
      <c r="I1998">
        <v>1363.6</v>
      </c>
      <c r="J1998" t="str">
        <f>HYPERLINK("https://climate.onebuilding.org/WMO_Region_4_North_and_Central_America/CAN_Canada/AB_Alberta/CAN_AB_Stavely.AAFC.715550_TMYx.2004-2018.zip")</f>
        <v>https://climate.onebuilding.org/WMO_Region_4_North_and_Central_America/CAN_Canada/AB_Alberta/CAN_AB_Stavely.AAFC.715550_TMYx.2004-2018.zip</v>
      </c>
    </row>
    <row r="1999" spans="1:10" x14ac:dyDescent="0.25">
      <c r="A1999" t="s">
        <v>6</v>
      </c>
      <c r="B1999" t="s">
        <v>17</v>
      </c>
      <c r="C1999" t="s">
        <v>1010</v>
      </c>
      <c r="D1999">
        <v>715550</v>
      </c>
      <c r="E1999" t="s">
        <v>10</v>
      </c>
      <c r="F1999">
        <v>50.183300000000003</v>
      </c>
      <c r="G1999">
        <v>-113.88330000000001</v>
      </c>
      <c r="H1999">
        <v>-7</v>
      </c>
      <c r="I1999">
        <v>1363.6</v>
      </c>
      <c r="J1999" t="str">
        <f>HYPERLINK("https://climate.onebuilding.org/WMO_Region_4_North_and_Central_America/CAN_Canada/AB_Alberta/CAN_AB_Stavely.AAFC.715550_TMYx.2007-2021.zip")</f>
        <v>https://climate.onebuilding.org/WMO_Region_4_North_and_Central_America/CAN_Canada/AB_Alberta/CAN_AB_Stavely.AAFC.715550_TMYx.2007-2021.zip</v>
      </c>
    </row>
    <row r="2000" spans="1:10" x14ac:dyDescent="0.25">
      <c r="A2000" t="s">
        <v>6</v>
      </c>
      <c r="B2000" t="s">
        <v>17</v>
      </c>
      <c r="C2000" t="s">
        <v>1010</v>
      </c>
      <c r="D2000">
        <v>715550</v>
      </c>
      <c r="E2000" t="s">
        <v>10</v>
      </c>
      <c r="F2000">
        <v>50.183300000000003</v>
      </c>
      <c r="G2000">
        <v>-113.88330000000001</v>
      </c>
      <c r="H2000">
        <v>-7</v>
      </c>
      <c r="I2000">
        <v>1363.6</v>
      </c>
      <c r="J2000" t="str">
        <f>HYPERLINK("https://climate.onebuilding.org/WMO_Region_4_North_and_Central_America/CAN_Canada/AB_Alberta/CAN_AB_Stavely.AAFC.715550_TMYx.2009-2023.zip")</f>
        <v>https://climate.onebuilding.org/WMO_Region_4_North_and_Central_America/CAN_Canada/AB_Alberta/CAN_AB_Stavely.AAFC.715550_TMYx.2009-2023.zip</v>
      </c>
    </row>
    <row r="2001" spans="1:10" x14ac:dyDescent="0.25">
      <c r="A2001" t="s">
        <v>6</v>
      </c>
      <c r="B2001" t="s">
        <v>17</v>
      </c>
      <c r="C2001" t="s">
        <v>1010</v>
      </c>
      <c r="D2001">
        <v>715550</v>
      </c>
      <c r="E2001" t="s">
        <v>10</v>
      </c>
      <c r="F2001">
        <v>50.183300000000003</v>
      </c>
      <c r="G2001">
        <v>-113.88330000000001</v>
      </c>
      <c r="H2001">
        <v>-7</v>
      </c>
      <c r="I2001">
        <v>1363.6</v>
      </c>
      <c r="J2001" t="str">
        <f>HYPERLINK("https://climate.onebuilding.org/WMO_Region_4_North_and_Central_America/CAN_Canada/AB_Alberta/CAN_AB_Stavely.AAFC.715550_TMYx.zip")</f>
        <v>https://climate.onebuilding.org/WMO_Region_4_North_and_Central_America/CAN_Canada/AB_Alberta/CAN_AB_Stavely.AAFC.715550_TMYx.zip</v>
      </c>
    </row>
    <row r="2002" spans="1:10" x14ac:dyDescent="0.25">
      <c r="A2002" t="s">
        <v>6</v>
      </c>
      <c r="B2002" t="s">
        <v>58</v>
      </c>
      <c r="C2002" t="s">
        <v>1012</v>
      </c>
      <c r="D2002">
        <v>715560</v>
      </c>
      <c r="E2002" t="s">
        <v>1013</v>
      </c>
      <c r="F2002">
        <v>51.416699999999999</v>
      </c>
      <c r="G2002">
        <v>-105.25</v>
      </c>
      <c r="H2002">
        <v>-6</v>
      </c>
      <c r="I2002">
        <v>497</v>
      </c>
      <c r="J2002" t="str">
        <f>HYPERLINK("https://climate.onebuilding.org/WMO_Region_4_North_and_Central_America/CAN_Canada/SK_Saskatchewan/CAN_SK_Last.Mountain.Lake.Natl.Wildlife.Area.715560_TMYx.2004-2018.zip")</f>
        <v>https://climate.onebuilding.org/WMO_Region_4_North_and_Central_America/CAN_Canada/SK_Saskatchewan/CAN_SK_Last.Mountain.Lake.Natl.Wildlife.Area.715560_TMYx.2004-2018.zip</v>
      </c>
    </row>
    <row r="2003" spans="1:10" x14ac:dyDescent="0.25">
      <c r="A2003" t="s">
        <v>6</v>
      </c>
      <c r="B2003" t="s">
        <v>58</v>
      </c>
      <c r="C2003" t="s">
        <v>1012</v>
      </c>
      <c r="D2003">
        <v>715560</v>
      </c>
      <c r="E2003" t="s">
        <v>10</v>
      </c>
      <c r="F2003">
        <v>51.415280000000003</v>
      </c>
      <c r="G2003">
        <v>-105.24299999999999</v>
      </c>
      <c r="H2003">
        <v>-6</v>
      </c>
      <c r="I2003">
        <v>497</v>
      </c>
      <c r="J2003" t="str">
        <f>HYPERLINK("https://climate.onebuilding.org/WMO_Region_4_North_and_Central_America/CAN_Canada/SK_Saskatchewan/CAN_SK_Last.Mountain.Lake.Natl.Wildlife.Area.715560_TMYx.2007-2021.zip")</f>
        <v>https://climate.onebuilding.org/WMO_Region_4_North_and_Central_America/CAN_Canada/SK_Saskatchewan/CAN_SK_Last.Mountain.Lake.Natl.Wildlife.Area.715560_TMYx.2007-2021.zip</v>
      </c>
    </row>
    <row r="2004" spans="1:10" x14ac:dyDescent="0.25">
      <c r="A2004" t="s">
        <v>6</v>
      </c>
      <c r="B2004" t="s">
        <v>58</v>
      </c>
      <c r="C2004" t="s">
        <v>1012</v>
      </c>
      <c r="D2004">
        <v>715560</v>
      </c>
      <c r="E2004" t="s">
        <v>10</v>
      </c>
      <c r="F2004">
        <v>51.415280000000003</v>
      </c>
      <c r="G2004">
        <v>-105.24299999999999</v>
      </c>
      <c r="H2004">
        <v>-6</v>
      </c>
      <c r="I2004">
        <v>497</v>
      </c>
      <c r="J2004" t="str">
        <f>HYPERLINK("https://climate.onebuilding.org/WMO_Region_4_North_and_Central_America/CAN_Canada/SK_Saskatchewan/CAN_SK_Last.Mountain.Lake.Natl.Wildlife.Area.715560_TMYx.2009-2023.zip")</f>
        <v>https://climate.onebuilding.org/WMO_Region_4_North_and_Central_America/CAN_Canada/SK_Saskatchewan/CAN_SK_Last.Mountain.Lake.Natl.Wildlife.Area.715560_TMYx.2009-2023.zip</v>
      </c>
    </row>
    <row r="2005" spans="1:10" x14ac:dyDescent="0.25">
      <c r="A2005" t="s">
        <v>6</v>
      </c>
      <c r="B2005" t="s">
        <v>58</v>
      </c>
      <c r="C2005" t="s">
        <v>1012</v>
      </c>
      <c r="D2005">
        <v>715560</v>
      </c>
      <c r="E2005" t="s">
        <v>10</v>
      </c>
      <c r="F2005">
        <v>51.415280000000003</v>
      </c>
      <c r="G2005">
        <v>-105.24299999999999</v>
      </c>
      <c r="H2005">
        <v>-6</v>
      </c>
      <c r="I2005">
        <v>497</v>
      </c>
      <c r="J2005" t="str">
        <f>HYPERLINK("https://climate.onebuilding.org/WMO_Region_4_North_and_Central_America/CAN_Canada/SK_Saskatchewan/CAN_SK_Last.Mountain.Lake.Natl.Wildlife.Area.715560_TMYx.zip")</f>
        <v>https://climate.onebuilding.org/WMO_Region_4_North_and_Central_America/CAN_Canada/SK_Saskatchewan/CAN_SK_Last.Mountain.Lake.Natl.Wildlife.Area.715560_TMYx.zip</v>
      </c>
    </row>
    <row r="2006" spans="1:10" x14ac:dyDescent="0.25">
      <c r="A2006" t="s">
        <v>6</v>
      </c>
      <c r="B2006" t="s">
        <v>55</v>
      </c>
      <c r="C2006" t="s">
        <v>1014</v>
      </c>
      <c r="D2006">
        <v>715570</v>
      </c>
      <c r="E2006" t="s">
        <v>1015</v>
      </c>
      <c r="F2006">
        <v>50.1</v>
      </c>
      <c r="G2006">
        <v>-120.767</v>
      </c>
      <c r="H2006">
        <v>-8</v>
      </c>
      <c r="I2006">
        <v>591</v>
      </c>
      <c r="J2006" t="str">
        <f>HYPERLINK("https://climate.onebuilding.org/WMO_Region_4_North_and_Central_America/CAN_Canada/BC_British_Columbia/CAN_BC_Merritt.715570_TMYx.2004-2018.zip")</f>
        <v>https://climate.onebuilding.org/WMO_Region_4_North_and_Central_America/CAN_Canada/BC_British_Columbia/CAN_BC_Merritt.715570_TMYx.2004-2018.zip</v>
      </c>
    </row>
    <row r="2007" spans="1:10" x14ac:dyDescent="0.25">
      <c r="A2007" t="s">
        <v>6</v>
      </c>
      <c r="B2007" t="s">
        <v>55</v>
      </c>
      <c r="C2007" t="s">
        <v>1014</v>
      </c>
      <c r="D2007">
        <v>715570</v>
      </c>
      <c r="E2007" t="s">
        <v>10</v>
      </c>
      <c r="F2007">
        <v>50.112499999999997</v>
      </c>
      <c r="G2007">
        <v>-120.77809999999999</v>
      </c>
      <c r="H2007">
        <v>-8</v>
      </c>
      <c r="I2007">
        <v>591</v>
      </c>
      <c r="J2007" t="str">
        <f>HYPERLINK("https://climate.onebuilding.org/WMO_Region_4_North_and_Central_America/CAN_Canada/BC_British_Columbia/CAN_BC_Merritt.715570_TMYx.2007-2021.zip")</f>
        <v>https://climate.onebuilding.org/WMO_Region_4_North_and_Central_America/CAN_Canada/BC_British_Columbia/CAN_BC_Merritt.715570_TMYx.2007-2021.zip</v>
      </c>
    </row>
    <row r="2008" spans="1:10" x14ac:dyDescent="0.25">
      <c r="A2008" t="s">
        <v>6</v>
      </c>
      <c r="B2008" t="s">
        <v>55</v>
      </c>
      <c r="C2008" t="s">
        <v>1014</v>
      </c>
      <c r="D2008">
        <v>715570</v>
      </c>
      <c r="E2008" t="s">
        <v>10</v>
      </c>
      <c r="F2008">
        <v>50.112499999999997</v>
      </c>
      <c r="G2008">
        <v>-120.77809999999999</v>
      </c>
      <c r="H2008">
        <v>-8</v>
      </c>
      <c r="I2008">
        <v>591</v>
      </c>
      <c r="J2008" t="str">
        <f>HYPERLINK("https://climate.onebuilding.org/WMO_Region_4_North_and_Central_America/CAN_Canada/BC_British_Columbia/CAN_BC_Merritt.715570_TMYx.2009-2023.zip")</f>
        <v>https://climate.onebuilding.org/WMO_Region_4_North_and_Central_America/CAN_Canada/BC_British_Columbia/CAN_BC_Merritt.715570_TMYx.2009-2023.zip</v>
      </c>
    </row>
    <row r="2009" spans="1:10" x14ac:dyDescent="0.25">
      <c r="A2009" t="s">
        <v>6</v>
      </c>
      <c r="B2009" t="s">
        <v>55</v>
      </c>
      <c r="C2009" t="s">
        <v>1014</v>
      </c>
      <c r="D2009">
        <v>715570</v>
      </c>
      <c r="E2009" t="s">
        <v>10</v>
      </c>
      <c r="F2009">
        <v>50.112499999999997</v>
      </c>
      <c r="G2009">
        <v>-120.77809999999999</v>
      </c>
      <c r="H2009">
        <v>-8</v>
      </c>
      <c r="I2009">
        <v>591</v>
      </c>
      <c r="J2009" t="str">
        <f>HYPERLINK("https://climate.onebuilding.org/WMO_Region_4_North_and_Central_America/CAN_Canada/BC_British_Columbia/CAN_BC_Merritt.715570_TMYx.zip")</f>
        <v>https://climate.onebuilding.org/WMO_Region_4_North_and_Central_America/CAN_Canada/BC_British_Columbia/CAN_BC_Merritt.715570_TMYx.zip</v>
      </c>
    </row>
    <row r="2010" spans="1:10" x14ac:dyDescent="0.25">
      <c r="A2010" t="s">
        <v>6</v>
      </c>
      <c r="B2010" t="s">
        <v>11</v>
      </c>
      <c r="C2010" t="s">
        <v>1016</v>
      </c>
      <c r="D2010">
        <v>715580</v>
      </c>
      <c r="E2010" t="s">
        <v>1017</v>
      </c>
      <c r="F2010">
        <v>51.383339999999997</v>
      </c>
      <c r="G2010">
        <v>-56.1</v>
      </c>
      <c r="H2010">
        <v>-3.5</v>
      </c>
      <c r="I2010">
        <v>29.3</v>
      </c>
      <c r="J2010" t="str">
        <f>HYPERLINK("https://climate.onebuilding.org/WMO_Region_4_North_and_Central_America/CAN_Canada/NL_Newfoundland_and_Labrador/CAN_NL_St.Anthony.AP.AWOS.715580_TMYx.2004-2018.zip")</f>
        <v>https://climate.onebuilding.org/WMO_Region_4_North_and_Central_America/CAN_Canada/NL_Newfoundland_and_Labrador/CAN_NL_St.Anthony.AP.AWOS.715580_TMYx.2004-2018.zip</v>
      </c>
    </row>
    <row r="2011" spans="1:10" x14ac:dyDescent="0.25">
      <c r="A2011" t="s">
        <v>6</v>
      </c>
      <c r="B2011" t="s">
        <v>11</v>
      </c>
      <c r="C2011" t="s">
        <v>1016</v>
      </c>
      <c r="D2011">
        <v>715580</v>
      </c>
      <c r="E2011" t="s">
        <v>10</v>
      </c>
      <c r="F2011">
        <v>51.383339999999997</v>
      </c>
      <c r="G2011">
        <v>-56.1</v>
      </c>
      <c r="H2011">
        <v>-3.5</v>
      </c>
      <c r="I2011">
        <v>29.3</v>
      </c>
      <c r="J2011" t="str">
        <f>HYPERLINK("https://climate.onebuilding.org/WMO_Region_4_North_and_Central_America/CAN_Canada/NL_Newfoundland_and_Labrador/CAN_NL_St.Anthony.AP.AWOS.715580_TMYx.2007-2021.zip")</f>
        <v>https://climate.onebuilding.org/WMO_Region_4_North_and_Central_America/CAN_Canada/NL_Newfoundland_and_Labrador/CAN_NL_St.Anthony.AP.AWOS.715580_TMYx.2007-2021.zip</v>
      </c>
    </row>
    <row r="2012" spans="1:10" x14ac:dyDescent="0.25">
      <c r="A2012" t="s">
        <v>6</v>
      </c>
      <c r="B2012" t="s">
        <v>11</v>
      </c>
      <c r="C2012" t="s">
        <v>1016</v>
      </c>
      <c r="D2012">
        <v>715580</v>
      </c>
      <c r="E2012" t="s">
        <v>10</v>
      </c>
      <c r="F2012">
        <v>51.383339999999997</v>
      </c>
      <c r="G2012">
        <v>-56.1</v>
      </c>
      <c r="H2012">
        <v>-3.5</v>
      </c>
      <c r="I2012">
        <v>29.3</v>
      </c>
      <c r="J2012" t="str">
        <f>HYPERLINK("https://climate.onebuilding.org/WMO_Region_4_North_and_Central_America/CAN_Canada/NL_Newfoundland_and_Labrador/CAN_NL_St.Anthony.AP.AWOS.715580_TMYx.2009-2023.zip")</f>
        <v>https://climate.onebuilding.org/WMO_Region_4_North_and_Central_America/CAN_Canada/NL_Newfoundland_and_Labrador/CAN_NL_St.Anthony.AP.AWOS.715580_TMYx.2009-2023.zip</v>
      </c>
    </row>
    <row r="2013" spans="1:10" x14ac:dyDescent="0.25">
      <c r="A2013" t="s">
        <v>6</v>
      </c>
      <c r="B2013" t="s">
        <v>11</v>
      </c>
      <c r="C2013" t="s">
        <v>1016</v>
      </c>
      <c r="D2013">
        <v>715580</v>
      </c>
      <c r="E2013" t="s">
        <v>10</v>
      </c>
      <c r="F2013">
        <v>51.383339999999997</v>
      </c>
      <c r="G2013">
        <v>-56.1</v>
      </c>
      <c r="H2013">
        <v>-3.5</v>
      </c>
      <c r="I2013">
        <v>29.3</v>
      </c>
      <c r="J2013" t="str">
        <f>HYPERLINK("https://climate.onebuilding.org/WMO_Region_4_North_and_Central_America/CAN_Canada/NL_Newfoundland_and_Labrador/CAN_NL_St.Anthony.AP.AWOS.715580_TMYx.zip")</f>
        <v>https://climate.onebuilding.org/WMO_Region_4_North_and_Central_America/CAN_Canada/NL_Newfoundland_and_Labrador/CAN_NL_St.Anthony.AP.AWOS.715580_TMYx.zip</v>
      </c>
    </row>
    <row r="2014" spans="1:10" x14ac:dyDescent="0.25">
      <c r="A2014" t="s">
        <v>6</v>
      </c>
      <c r="B2014" t="s">
        <v>58</v>
      </c>
      <c r="C2014" t="s">
        <v>1018</v>
      </c>
      <c r="D2014">
        <v>715590</v>
      </c>
      <c r="E2014" t="s">
        <v>10</v>
      </c>
      <c r="F2014">
        <v>49.216700000000003</v>
      </c>
      <c r="G2014">
        <v>-102.9667</v>
      </c>
      <c r="H2014">
        <v>-6</v>
      </c>
      <c r="I2014">
        <v>580.6</v>
      </c>
      <c r="J2014" t="str">
        <f>HYPERLINK("https://climate.onebuilding.org/WMO_Region_4_North_and_Central_America/CAN_Canada/SK_Saskatchewan/CAN_SK_Estevan.RCS.715590_TMYx.2007-2021.zip")</f>
        <v>https://climate.onebuilding.org/WMO_Region_4_North_and_Central_America/CAN_Canada/SK_Saskatchewan/CAN_SK_Estevan.RCS.715590_TMYx.2007-2021.zip</v>
      </c>
    </row>
    <row r="2015" spans="1:10" x14ac:dyDescent="0.25">
      <c r="A2015" t="s">
        <v>6</v>
      </c>
      <c r="B2015" t="s">
        <v>58</v>
      </c>
      <c r="C2015" t="s">
        <v>1018</v>
      </c>
      <c r="D2015">
        <v>715590</v>
      </c>
      <c r="E2015" t="s">
        <v>10</v>
      </c>
      <c r="F2015">
        <v>49.216700000000003</v>
      </c>
      <c r="G2015">
        <v>-102.9667</v>
      </c>
      <c r="H2015">
        <v>-6</v>
      </c>
      <c r="I2015">
        <v>580.6</v>
      </c>
      <c r="J2015" t="str">
        <f>HYPERLINK("https://climate.onebuilding.org/WMO_Region_4_North_and_Central_America/CAN_Canada/SK_Saskatchewan/CAN_SK_Estevan.RCS.715590_TMYx.2009-2023.zip")</f>
        <v>https://climate.onebuilding.org/WMO_Region_4_North_and_Central_America/CAN_Canada/SK_Saskatchewan/CAN_SK_Estevan.RCS.715590_TMYx.2009-2023.zip</v>
      </c>
    </row>
    <row r="2016" spans="1:10" x14ac:dyDescent="0.25">
      <c r="A2016" t="s">
        <v>6</v>
      </c>
      <c r="B2016" t="s">
        <v>58</v>
      </c>
      <c r="C2016" t="s">
        <v>1018</v>
      </c>
      <c r="D2016">
        <v>715590</v>
      </c>
      <c r="E2016" t="s">
        <v>10</v>
      </c>
      <c r="F2016">
        <v>49.216700000000003</v>
      </c>
      <c r="G2016">
        <v>-102.9667</v>
      </c>
      <c r="H2016">
        <v>-6</v>
      </c>
      <c r="I2016">
        <v>580.6</v>
      </c>
      <c r="J2016" t="str">
        <f>HYPERLINK("https://climate.onebuilding.org/WMO_Region_4_North_and_Central_America/CAN_Canada/SK_Saskatchewan/CAN_SK_Estevan.RCS.715590_TMYx.zip")</f>
        <v>https://climate.onebuilding.org/WMO_Region_4_North_and_Central_America/CAN_Canada/SK_Saskatchewan/CAN_SK_Estevan.RCS.715590_TMYx.zip</v>
      </c>
    </row>
    <row r="2017" spans="1:10" x14ac:dyDescent="0.25">
      <c r="A2017" t="s">
        <v>6</v>
      </c>
      <c r="B2017" t="s">
        <v>94</v>
      </c>
      <c r="C2017" t="s">
        <v>1019</v>
      </c>
      <c r="D2017">
        <v>715600</v>
      </c>
      <c r="E2017" t="s">
        <v>1020</v>
      </c>
      <c r="F2017">
        <v>49</v>
      </c>
      <c r="G2017">
        <v>-97.237499999999997</v>
      </c>
      <c r="H2017">
        <v>-6</v>
      </c>
      <c r="I2017">
        <v>242</v>
      </c>
      <c r="J2017" t="str">
        <f>HYPERLINK("https://climate.onebuilding.org/WMO_Region_4_North_and_Central_America/CAN_Canada/MB_Manitoba/CAN_MB_Emerson.715600_TMYx.2004-2018.zip")</f>
        <v>https://climate.onebuilding.org/WMO_Region_4_North_and_Central_America/CAN_Canada/MB_Manitoba/CAN_MB_Emerson.715600_TMYx.2004-2018.zip</v>
      </c>
    </row>
    <row r="2018" spans="1:10" x14ac:dyDescent="0.25">
      <c r="A2018" t="s">
        <v>6</v>
      </c>
      <c r="B2018" t="s">
        <v>94</v>
      </c>
      <c r="C2018" t="s">
        <v>1019</v>
      </c>
      <c r="D2018">
        <v>715600</v>
      </c>
      <c r="E2018" t="s">
        <v>10</v>
      </c>
      <c r="F2018">
        <v>49.001399999999997</v>
      </c>
      <c r="G2018">
        <v>-97.241699999999994</v>
      </c>
      <c r="H2018">
        <v>-6</v>
      </c>
      <c r="I2018">
        <v>242</v>
      </c>
      <c r="J2018" t="str">
        <f>HYPERLINK("https://climate.onebuilding.org/WMO_Region_4_North_and_Central_America/CAN_Canada/MB_Manitoba/CAN_MB_Emerson.715600_TMYx.2007-2021.zip")</f>
        <v>https://climate.onebuilding.org/WMO_Region_4_North_and_Central_America/CAN_Canada/MB_Manitoba/CAN_MB_Emerson.715600_TMYx.2007-2021.zip</v>
      </c>
    </row>
    <row r="2019" spans="1:10" x14ac:dyDescent="0.25">
      <c r="A2019" t="s">
        <v>6</v>
      </c>
      <c r="B2019" t="s">
        <v>94</v>
      </c>
      <c r="C2019" t="s">
        <v>1019</v>
      </c>
      <c r="D2019">
        <v>715600</v>
      </c>
      <c r="E2019" t="s">
        <v>10</v>
      </c>
      <c r="F2019">
        <v>49.001399999999997</v>
      </c>
      <c r="G2019">
        <v>-97.241699999999994</v>
      </c>
      <c r="H2019">
        <v>-6</v>
      </c>
      <c r="I2019">
        <v>242</v>
      </c>
      <c r="J2019" t="str">
        <f>HYPERLINK("https://climate.onebuilding.org/WMO_Region_4_North_and_Central_America/CAN_Canada/MB_Manitoba/CAN_MB_Emerson.715600_TMYx.2009-2023.zip")</f>
        <v>https://climate.onebuilding.org/WMO_Region_4_North_and_Central_America/CAN_Canada/MB_Manitoba/CAN_MB_Emerson.715600_TMYx.2009-2023.zip</v>
      </c>
    </row>
    <row r="2020" spans="1:10" x14ac:dyDescent="0.25">
      <c r="A2020" t="s">
        <v>6</v>
      </c>
      <c r="B2020" t="s">
        <v>94</v>
      </c>
      <c r="C2020" t="s">
        <v>1019</v>
      </c>
      <c r="D2020">
        <v>715600</v>
      </c>
      <c r="E2020" t="s">
        <v>10</v>
      </c>
      <c r="F2020">
        <v>49.001399999999997</v>
      </c>
      <c r="G2020">
        <v>-97.241699999999994</v>
      </c>
      <c r="H2020">
        <v>-6</v>
      </c>
      <c r="I2020">
        <v>242</v>
      </c>
      <c r="J2020" t="str">
        <f>HYPERLINK("https://climate.onebuilding.org/WMO_Region_4_North_and_Central_America/CAN_Canada/MB_Manitoba/CAN_MB_Emerson.715600_TMYx.zip")</f>
        <v>https://climate.onebuilding.org/WMO_Region_4_North_and_Central_America/CAN_Canada/MB_Manitoba/CAN_MB_Emerson.715600_TMYx.zip</v>
      </c>
    </row>
    <row r="2021" spans="1:10" x14ac:dyDescent="0.25">
      <c r="A2021" t="s">
        <v>6</v>
      </c>
      <c r="B2021" t="s">
        <v>94</v>
      </c>
      <c r="C2021" t="s">
        <v>1021</v>
      </c>
      <c r="D2021">
        <v>715630</v>
      </c>
      <c r="E2021" t="s">
        <v>1022</v>
      </c>
      <c r="F2021">
        <v>50.1828</v>
      </c>
      <c r="G2021">
        <v>-98.382199999999997</v>
      </c>
      <c r="H2021">
        <v>-6</v>
      </c>
      <c r="I2021">
        <v>248.4</v>
      </c>
      <c r="J2021" t="str">
        <f>HYPERLINK("https://climate.onebuilding.org/WMO_Region_4_North_and_Central_America/CAN_Canada/MB_Manitoba/CAN_MB_Delta.Marsh.715630_TMYx.2004-2018.zip")</f>
        <v>https://climate.onebuilding.org/WMO_Region_4_North_and_Central_America/CAN_Canada/MB_Manitoba/CAN_MB_Delta.Marsh.715630_TMYx.2004-2018.zip</v>
      </c>
    </row>
    <row r="2022" spans="1:10" x14ac:dyDescent="0.25">
      <c r="A2022" t="s">
        <v>6</v>
      </c>
      <c r="B2022" t="s">
        <v>94</v>
      </c>
      <c r="C2022" t="s">
        <v>1021</v>
      </c>
      <c r="D2022">
        <v>715630</v>
      </c>
      <c r="E2022" t="s">
        <v>10</v>
      </c>
      <c r="F2022">
        <v>50.1828</v>
      </c>
      <c r="G2022">
        <v>-98.382199999999997</v>
      </c>
      <c r="H2022">
        <v>-6</v>
      </c>
      <c r="I2022">
        <v>248.4</v>
      </c>
      <c r="J2022" t="str">
        <f>HYPERLINK("https://climate.onebuilding.org/WMO_Region_4_North_and_Central_America/CAN_Canada/MB_Manitoba/CAN_MB_Delta.Marsh.715630_TMYx.2007-2021.zip")</f>
        <v>https://climate.onebuilding.org/WMO_Region_4_North_and_Central_America/CAN_Canada/MB_Manitoba/CAN_MB_Delta.Marsh.715630_TMYx.2007-2021.zip</v>
      </c>
    </row>
    <row r="2023" spans="1:10" x14ac:dyDescent="0.25">
      <c r="A2023" t="s">
        <v>6</v>
      </c>
      <c r="B2023" t="s">
        <v>94</v>
      </c>
      <c r="C2023" t="s">
        <v>1021</v>
      </c>
      <c r="D2023">
        <v>715630</v>
      </c>
      <c r="E2023" t="s">
        <v>10</v>
      </c>
      <c r="F2023">
        <v>50.1828</v>
      </c>
      <c r="G2023">
        <v>-98.382199999999997</v>
      </c>
      <c r="H2023">
        <v>-6</v>
      </c>
      <c r="I2023">
        <v>248.4</v>
      </c>
      <c r="J2023" t="str">
        <f>HYPERLINK("https://climate.onebuilding.org/WMO_Region_4_North_and_Central_America/CAN_Canada/MB_Manitoba/CAN_MB_Delta.Marsh.715630_TMYx.zip")</f>
        <v>https://climate.onebuilding.org/WMO_Region_4_North_and_Central_America/CAN_Canada/MB_Manitoba/CAN_MB_Delta.Marsh.715630_TMYx.zip</v>
      </c>
    </row>
    <row r="2024" spans="1:10" x14ac:dyDescent="0.25">
      <c r="A2024" t="s">
        <v>6</v>
      </c>
      <c r="B2024" t="s">
        <v>94</v>
      </c>
      <c r="C2024" t="s">
        <v>1023</v>
      </c>
      <c r="D2024">
        <v>715640</v>
      </c>
      <c r="E2024" t="s">
        <v>1024</v>
      </c>
      <c r="F2024">
        <v>49.187800000000003</v>
      </c>
      <c r="G2024">
        <v>-98.0839</v>
      </c>
      <c r="H2024">
        <v>-6</v>
      </c>
      <c r="I2024">
        <v>297.5</v>
      </c>
      <c r="J2024" t="str">
        <f>HYPERLINK("https://climate.onebuilding.org/WMO_Region_4_North_and_Central_America/CAN_Canada/MB_Manitoba/CAN_MB_Morden.CDA.CS.715640_TMYx.2004-2018.zip")</f>
        <v>https://climate.onebuilding.org/WMO_Region_4_North_and_Central_America/CAN_Canada/MB_Manitoba/CAN_MB_Morden.CDA.CS.715640_TMYx.2004-2018.zip</v>
      </c>
    </row>
    <row r="2025" spans="1:10" x14ac:dyDescent="0.25">
      <c r="A2025" t="s">
        <v>6</v>
      </c>
      <c r="B2025" t="s">
        <v>94</v>
      </c>
      <c r="C2025" t="s">
        <v>1023</v>
      </c>
      <c r="D2025">
        <v>715640</v>
      </c>
      <c r="E2025" t="s">
        <v>10</v>
      </c>
      <c r="F2025">
        <v>49.187800000000003</v>
      </c>
      <c r="G2025">
        <v>-98.0839</v>
      </c>
      <c r="H2025">
        <v>-6</v>
      </c>
      <c r="I2025">
        <v>297.5</v>
      </c>
      <c r="J2025" t="str">
        <f>HYPERLINK("https://climate.onebuilding.org/WMO_Region_4_North_and_Central_America/CAN_Canada/MB_Manitoba/CAN_MB_Morden.CDA.CS.715640_TMYx.2007-2021.zip")</f>
        <v>https://climate.onebuilding.org/WMO_Region_4_North_and_Central_America/CAN_Canada/MB_Manitoba/CAN_MB_Morden.CDA.CS.715640_TMYx.2007-2021.zip</v>
      </c>
    </row>
    <row r="2026" spans="1:10" x14ac:dyDescent="0.25">
      <c r="A2026" t="s">
        <v>6</v>
      </c>
      <c r="B2026" t="s">
        <v>94</v>
      </c>
      <c r="C2026" t="s">
        <v>1023</v>
      </c>
      <c r="D2026">
        <v>715640</v>
      </c>
      <c r="E2026" t="s">
        <v>10</v>
      </c>
      <c r="F2026">
        <v>49.187800000000003</v>
      </c>
      <c r="G2026">
        <v>-98.0839</v>
      </c>
      <c r="H2026">
        <v>-6</v>
      </c>
      <c r="I2026">
        <v>297.5</v>
      </c>
      <c r="J2026" t="str">
        <f>HYPERLINK("https://climate.onebuilding.org/WMO_Region_4_North_and_Central_America/CAN_Canada/MB_Manitoba/CAN_MB_Morden.CDA.CS.715640_TMYx.2009-2023.zip")</f>
        <v>https://climate.onebuilding.org/WMO_Region_4_North_and_Central_America/CAN_Canada/MB_Manitoba/CAN_MB_Morden.CDA.CS.715640_TMYx.2009-2023.zip</v>
      </c>
    </row>
    <row r="2027" spans="1:10" x14ac:dyDescent="0.25">
      <c r="A2027" t="s">
        <v>6</v>
      </c>
      <c r="B2027" t="s">
        <v>94</v>
      </c>
      <c r="C2027" t="s">
        <v>1023</v>
      </c>
      <c r="D2027">
        <v>715640</v>
      </c>
      <c r="E2027" t="s">
        <v>10</v>
      </c>
      <c r="F2027">
        <v>49.187800000000003</v>
      </c>
      <c r="G2027">
        <v>-98.0839</v>
      </c>
      <c r="H2027">
        <v>-6</v>
      </c>
      <c r="I2027">
        <v>297.5</v>
      </c>
      <c r="J2027" t="str">
        <f>HYPERLINK("https://climate.onebuilding.org/WMO_Region_4_North_and_Central_America/CAN_Canada/MB_Manitoba/CAN_MB_Morden.CDA.CS.715640_TMYx.zip")</f>
        <v>https://climate.onebuilding.org/WMO_Region_4_North_and_Central_America/CAN_Canada/MB_Manitoba/CAN_MB_Morden.CDA.CS.715640_TMYx.zip</v>
      </c>
    </row>
    <row r="2028" spans="1:10" x14ac:dyDescent="0.25">
      <c r="A2028" t="s">
        <v>6</v>
      </c>
      <c r="B2028" t="s">
        <v>17</v>
      </c>
      <c r="C2028" t="s">
        <v>1025</v>
      </c>
      <c r="D2028">
        <v>715650</v>
      </c>
      <c r="E2028" t="s">
        <v>1026</v>
      </c>
      <c r="F2028">
        <v>52.553100000000001</v>
      </c>
      <c r="G2028">
        <v>-114.4725</v>
      </c>
      <c r="H2028">
        <v>-7</v>
      </c>
      <c r="I2028">
        <v>947</v>
      </c>
      <c r="J2028" t="str">
        <f>HYPERLINK("https://climate.onebuilding.org/WMO_Region_4_North_and_Central_America/CAN_Canada/AB_Alberta/CAN_AB_Leedale.AgDM.715650_TMYx.2004-2018.zip")</f>
        <v>https://climate.onebuilding.org/WMO_Region_4_North_and_Central_America/CAN_Canada/AB_Alberta/CAN_AB_Leedale.AgDM.715650_TMYx.2004-2018.zip</v>
      </c>
    </row>
    <row r="2029" spans="1:10" x14ac:dyDescent="0.25">
      <c r="A2029" t="s">
        <v>6</v>
      </c>
      <c r="B2029" t="s">
        <v>17</v>
      </c>
      <c r="C2029" t="s">
        <v>1025</v>
      </c>
      <c r="D2029">
        <v>715650</v>
      </c>
      <c r="E2029" t="s">
        <v>10</v>
      </c>
      <c r="F2029">
        <v>52.553100000000001</v>
      </c>
      <c r="G2029">
        <v>-114.4725</v>
      </c>
      <c r="H2029">
        <v>-7</v>
      </c>
      <c r="I2029">
        <v>947</v>
      </c>
      <c r="J2029" t="str">
        <f>HYPERLINK("https://climate.onebuilding.org/WMO_Region_4_North_and_Central_America/CAN_Canada/AB_Alberta/CAN_AB_Leedale.AgDM.715650_TMYx.2007-2021.zip")</f>
        <v>https://climate.onebuilding.org/WMO_Region_4_North_and_Central_America/CAN_Canada/AB_Alberta/CAN_AB_Leedale.AgDM.715650_TMYx.2007-2021.zip</v>
      </c>
    </row>
    <row r="2030" spans="1:10" x14ac:dyDescent="0.25">
      <c r="A2030" t="s">
        <v>6</v>
      </c>
      <c r="B2030" t="s">
        <v>17</v>
      </c>
      <c r="C2030" t="s">
        <v>1025</v>
      </c>
      <c r="D2030">
        <v>715650</v>
      </c>
      <c r="E2030" t="s">
        <v>10</v>
      </c>
      <c r="F2030">
        <v>52.553100000000001</v>
      </c>
      <c r="G2030">
        <v>-114.4725</v>
      </c>
      <c r="H2030">
        <v>-7</v>
      </c>
      <c r="I2030">
        <v>947</v>
      </c>
      <c r="J2030" t="str">
        <f>HYPERLINK("https://climate.onebuilding.org/WMO_Region_4_North_and_Central_America/CAN_Canada/AB_Alberta/CAN_AB_Leedale.AgDM.715650_TMYx.2009-2023.zip")</f>
        <v>https://climate.onebuilding.org/WMO_Region_4_North_and_Central_America/CAN_Canada/AB_Alberta/CAN_AB_Leedale.AgDM.715650_TMYx.2009-2023.zip</v>
      </c>
    </row>
    <row r="2031" spans="1:10" x14ac:dyDescent="0.25">
      <c r="A2031" t="s">
        <v>6</v>
      </c>
      <c r="B2031" t="s">
        <v>17</v>
      </c>
      <c r="C2031" t="s">
        <v>1025</v>
      </c>
      <c r="D2031">
        <v>715650</v>
      </c>
      <c r="E2031" t="s">
        <v>10</v>
      </c>
      <c r="F2031">
        <v>52.553100000000001</v>
      </c>
      <c r="G2031">
        <v>-114.4725</v>
      </c>
      <c r="H2031">
        <v>-7</v>
      </c>
      <c r="I2031">
        <v>947</v>
      </c>
      <c r="J2031" t="str">
        <f>HYPERLINK("https://climate.onebuilding.org/WMO_Region_4_North_and_Central_America/CAN_Canada/AB_Alberta/CAN_AB_Leedale.AgDM.715650_TMYx.zip")</f>
        <v>https://climate.onebuilding.org/WMO_Region_4_North_and_Central_America/CAN_Canada/AB_Alberta/CAN_AB_Leedale.AgDM.715650_TMYx.zip</v>
      </c>
    </row>
    <row r="2032" spans="1:10" x14ac:dyDescent="0.25">
      <c r="A2032" t="s">
        <v>6</v>
      </c>
      <c r="B2032" t="s">
        <v>17</v>
      </c>
      <c r="C2032" t="s">
        <v>1027</v>
      </c>
      <c r="D2032">
        <v>715660</v>
      </c>
      <c r="E2032" t="s">
        <v>1028</v>
      </c>
      <c r="F2032">
        <v>53.439500000000002</v>
      </c>
      <c r="G2032">
        <v>-114.7183</v>
      </c>
      <c r="H2032">
        <v>-7</v>
      </c>
      <c r="I2032">
        <v>814</v>
      </c>
      <c r="J2032" t="str">
        <f>HYPERLINK("https://climate.onebuilding.org/WMO_Region_4_North_and_Central_America/CAN_Canada/AB_Alberta/CAN_AB_Tomahawk.AgDM.715660_TMYx.2004-2018.zip")</f>
        <v>https://climate.onebuilding.org/WMO_Region_4_North_and_Central_America/CAN_Canada/AB_Alberta/CAN_AB_Tomahawk.AgDM.715660_TMYx.2004-2018.zip</v>
      </c>
    </row>
    <row r="2033" spans="1:10" x14ac:dyDescent="0.25">
      <c r="A2033" t="s">
        <v>6</v>
      </c>
      <c r="B2033" t="s">
        <v>17</v>
      </c>
      <c r="C2033" t="s">
        <v>1027</v>
      </c>
      <c r="D2033">
        <v>715660</v>
      </c>
      <c r="E2033" t="s">
        <v>10</v>
      </c>
      <c r="F2033">
        <v>53.439500000000002</v>
      </c>
      <c r="G2033">
        <v>-114.7183</v>
      </c>
      <c r="H2033">
        <v>-7</v>
      </c>
      <c r="I2033">
        <v>814</v>
      </c>
      <c r="J2033" t="str">
        <f>HYPERLINK("https://climate.onebuilding.org/WMO_Region_4_North_and_Central_America/CAN_Canada/AB_Alberta/CAN_AB_Tomahawk.AgDM.715660_TMYx.2007-2021.zip")</f>
        <v>https://climate.onebuilding.org/WMO_Region_4_North_and_Central_America/CAN_Canada/AB_Alberta/CAN_AB_Tomahawk.AgDM.715660_TMYx.2007-2021.zip</v>
      </c>
    </row>
    <row r="2034" spans="1:10" x14ac:dyDescent="0.25">
      <c r="A2034" t="s">
        <v>6</v>
      </c>
      <c r="B2034" t="s">
        <v>17</v>
      </c>
      <c r="C2034" t="s">
        <v>1027</v>
      </c>
      <c r="D2034">
        <v>715660</v>
      </c>
      <c r="E2034" t="s">
        <v>10</v>
      </c>
      <c r="F2034">
        <v>53.439500000000002</v>
      </c>
      <c r="G2034">
        <v>-114.7183</v>
      </c>
      <c r="H2034">
        <v>-7</v>
      </c>
      <c r="I2034">
        <v>814</v>
      </c>
      <c r="J2034" t="str">
        <f>HYPERLINK("https://climate.onebuilding.org/WMO_Region_4_North_and_Central_America/CAN_Canada/AB_Alberta/CAN_AB_Tomahawk.AgDM.715660_TMYx.2009-2023.zip")</f>
        <v>https://climate.onebuilding.org/WMO_Region_4_North_and_Central_America/CAN_Canada/AB_Alberta/CAN_AB_Tomahawk.AgDM.715660_TMYx.2009-2023.zip</v>
      </c>
    </row>
    <row r="2035" spans="1:10" x14ac:dyDescent="0.25">
      <c r="A2035" t="s">
        <v>6</v>
      </c>
      <c r="B2035" t="s">
        <v>17</v>
      </c>
      <c r="C2035" t="s">
        <v>1027</v>
      </c>
      <c r="D2035">
        <v>715660</v>
      </c>
      <c r="E2035" t="s">
        <v>10</v>
      </c>
      <c r="F2035">
        <v>53.439500000000002</v>
      </c>
      <c r="G2035">
        <v>-114.7183</v>
      </c>
      <c r="H2035">
        <v>-7</v>
      </c>
      <c r="I2035">
        <v>814</v>
      </c>
      <c r="J2035" t="str">
        <f>HYPERLINK("https://climate.onebuilding.org/WMO_Region_4_North_and_Central_America/CAN_Canada/AB_Alberta/CAN_AB_Tomahawk.AgDM.715660_TMYx.zip")</f>
        <v>https://climate.onebuilding.org/WMO_Region_4_North_and_Central_America/CAN_Canada/AB_Alberta/CAN_AB_Tomahawk.AgDM.715660_TMYx.zip</v>
      </c>
    </row>
    <row r="2036" spans="1:10" x14ac:dyDescent="0.25">
      <c r="A2036" t="s">
        <v>6</v>
      </c>
      <c r="B2036" t="s">
        <v>17</v>
      </c>
      <c r="C2036" t="s">
        <v>1029</v>
      </c>
      <c r="D2036">
        <v>715670</v>
      </c>
      <c r="E2036" t="s">
        <v>1030</v>
      </c>
      <c r="F2036">
        <v>53.942799999999998</v>
      </c>
      <c r="G2036">
        <v>-110.5789</v>
      </c>
      <c r="H2036">
        <v>-7</v>
      </c>
      <c r="I2036">
        <v>630</v>
      </c>
      <c r="J2036" t="str">
        <f>HYPERLINK("https://climate.onebuilding.org/WMO_Region_4_North_and_Central_America/CAN_Canada/AB_Alberta/CAN_AB_Lindbergh.AgDM.715670_TMYx.2004-2018.zip")</f>
        <v>https://climate.onebuilding.org/WMO_Region_4_North_and_Central_America/CAN_Canada/AB_Alberta/CAN_AB_Lindbergh.AgDM.715670_TMYx.2004-2018.zip</v>
      </c>
    </row>
    <row r="2037" spans="1:10" x14ac:dyDescent="0.25">
      <c r="A2037" t="s">
        <v>6</v>
      </c>
      <c r="B2037" t="s">
        <v>17</v>
      </c>
      <c r="C2037" t="s">
        <v>1029</v>
      </c>
      <c r="D2037">
        <v>715670</v>
      </c>
      <c r="E2037" t="s">
        <v>10</v>
      </c>
      <c r="F2037">
        <v>53.942799999999998</v>
      </c>
      <c r="G2037">
        <v>-110.5789</v>
      </c>
      <c r="H2037">
        <v>-7</v>
      </c>
      <c r="I2037">
        <v>630</v>
      </c>
      <c r="J2037" t="str">
        <f>HYPERLINK("https://climate.onebuilding.org/WMO_Region_4_North_and_Central_America/CAN_Canada/AB_Alberta/CAN_AB_Lindbergh.AgDM.715670_TMYx.2007-2021.zip")</f>
        <v>https://climate.onebuilding.org/WMO_Region_4_North_and_Central_America/CAN_Canada/AB_Alberta/CAN_AB_Lindbergh.AgDM.715670_TMYx.2007-2021.zip</v>
      </c>
    </row>
    <row r="2038" spans="1:10" x14ac:dyDescent="0.25">
      <c r="A2038" t="s">
        <v>6</v>
      </c>
      <c r="B2038" t="s">
        <v>17</v>
      </c>
      <c r="C2038" t="s">
        <v>1029</v>
      </c>
      <c r="D2038">
        <v>715670</v>
      </c>
      <c r="E2038" t="s">
        <v>10</v>
      </c>
      <c r="F2038">
        <v>53.942799999999998</v>
      </c>
      <c r="G2038">
        <v>-110.5789</v>
      </c>
      <c r="H2038">
        <v>-7</v>
      </c>
      <c r="I2038">
        <v>630</v>
      </c>
      <c r="J2038" t="str">
        <f>HYPERLINK("https://climate.onebuilding.org/WMO_Region_4_North_and_Central_America/CAN_Canada/AB_Alberta/CAN_AB_Lindbergh.AgDM.715670_TMYx.2009-2023.zip")</f>
        <v>https://climate.onebuilding.org/WMO_Region_4_North_and_Central_America/CAN_Canada/AB_Alberta/CAN_AB_Lindbergh.AgDM.715670_TMYx.2009-2023.zip</v>
      </c>
    </row>
    <row r="2039" spans="1:10" x14ac:dyDescent="0.25">
      <c r="A2039" t="s">
        <v>6</v>
      </c>
      <c r="B2039" t="s">
        <v>17</v>
      </c>
      <c r="C2039" t="s">
        <v>1029</v>
      </c>
      <c r="D2039">
        <v>715670</v>
      </c>
      <c r="E2039" t="s">
        <v>10</v>
      </c>
      <c r="F2039">
        <v>53.942799999999998</v>
      </c>
      <c r="G2039">
        <v>-110.5789</v>
      </c>
      <c r="H2039">
        <v>-7</v>
      </c>
      <c r="I2039">
        <v>630</v>
      </c>
      <c r="J2039" t="str">
        <f>HYPERLINK("https://climate.onebuilding.org/WMO_Region_4_North_and_Central_America/CAN_Canada/AB_Alberta/CAN_AB_Lindbergh.AgDM.715670_TMYx.zip")</f>
        <v>https://climate.onebuilding.org/WMO_Region_4_North_and_Central_America/CAN_Canada/AB_Alberta/CAN_AB_Lindbergh.AgDM.715670_TMYx.zip</v>
      </c>
    </row>
    <row r="2040" spans="1:10" x14ac:dyDescent="0.25">
      <c r="A2040" t="s">
        <v>6</v>
      </c>
      <c r="B2040" t="s">
        <v>55</v>
      </c>
      <c r="C2040" t="s">
        <v>1031</v>
      </c>
      <c r="D2040">
        <v>715680</v>
      </c>
      <c r="E2040" t="s">
        <v>1032</v>
      </c>
      <c r="F2040">
        <v>50.45</v>
      </c>
      <c r="G2040">
        <v>-125.983</v>
      </c>
      <c r="H2040">
        <v>-8</v>
      </c>
      <c r="I2040">
        <v>8</v>
      </c>
      <c r="J2040" t="str">
        <f>HYPERLINK("https://climate.onebuilding.org/WMO_Region_4_North_and_Central_America/CAN_Canada/BC_British_Columbia/CAN_BC_Fanny.Island.715680_TMYx.2004-2018.zip")</f>
        <v>https://climate.onebuilding.org/WMO_Region_4_North_and_Central_America/CAN_Canada/BC_British_Columbia/CAN_BC_Fanny.Island.715680_TMYx.2004-2018.zip</v>
      </c>
    </row>
    <row r="2041" spans="1:10" x14ac:dyDescent="0.25">
      <c r="A2041" t="s">
        <v>6</v>
      </c>
      <c r="B2041" t="s">
        <v>55</v>
      </c>
      <c r="C2041" t="s">
        <v>1031</v>
      </c>
      <c r="D2041">
        <v>715680</v>
      </c>
      <c r="E2041" t="s">
        <v>10</v>
      </c>
      <c r="F2041">
        <v>50.453600000000002</v>
      </c>
      <c r="G2041">
        <v>-125.99299999999999</v>
      </c>
      <c r="H2041">
        <v>-8</v>
      </c>
      <c r="I2041">
        <v>8</v>
      </c>
      <c r="J2041" t="str">
        <f>HYPERLINK("https://climate.onebuilding.org/WMO_Region_4_North_and_Central_America/CAN_Canada/BC_British_Columbia/CAN_BC_Fanny.Island.715680_TMYx.2007-2021.zip")</f>
        <v>https://climate.onebuilding.org/WMO_Region_4_North_and_Central_America/CAN_Canada/BC_British_Columbia/CAN_BC_Fanny.Island.715680_TMYx.2007-2021.zip</v>
      </c>
    </row>
    <row r="2042" spans="1:10" x14ac:dyDescent="0.25">
      <c r="A2042" t="s">
        <v>6</v>
      </c>
      <c r="B2042" t="s">
        <v>55</v>
      </c>
      <c r="C2042" t="s">
        <v>1031</v>
      </c>
      <c r="D2042">
        <v>715680</v>
      </c>
      <c r="E2042" t="s">
        <v>10</v>
      </c>
      <c r="F2042">
        <v>50.453600000000002</v>
      </c>
      <c r="G2042">
        <v>-125.99299999999999</v>
      </c>
      <c r="H2042">
        <v>-8</v>
      </c>
      <c r="I2042">
        <v>8</v>
      </c>
      <c r="J2042" t="str">
        <f>HYPERLINK("https://climate.onebuilding.org/WMO_Region_4_North_and_Central_America/CAN_Canada/BC_British_Columbia/CAN_BC_Fanny.Island.715680_TMYx.2009-2023.zip")</f>
        <v>https://climate.onebuilding.org/WMO_Region_4_North_and_Central_America/CAN_Canada/BC_British_Columbia/CAN_BC_Fanny.Island.715680_TMYx.2009-2023.zip</v>
      </c>
    </row>
    <row r="2043" spans="1:10" x14ac:dyDescent="0.25">
      <c r="A2043" t="s">
        <v>6</v>
      </c>
      <c r="B2043" t="s">
        <v>55</v>
      </c>
      <c r="C2043" t="s">
        <v>1031</v>
      </c>
      <c r="D2043">
        <v>715680</v>
      </c>
      <c r="E2043" t="s">
        <v>10</v>
      </c>
      <c r="F2043">
        <v>50.453600000000002</v>
      </c>
      <c r="G2043">
        <v>-125.99299999999999</v>
      </c>
      <c r="H2043">
        <v>-8</v>
      </c>
      <c r="I2043">
        <v>8</v>
      </c>
      <c r="J2043" t="str">
        <f>HYPERLINK("https://climate.onebuilding.org/WMO_Region_4_North_and_Central_America/CAN_Canada/BC_British_Columbia/CAN_BC_Fanny.Island.715680_TMYx.zip")</f>
        <v>https://climate.onebuilding.org/WMO_Region_4_North_and_Central_America/CAN_Canada/BC_British_Columbia/CAN_BC_Fanny.Island.715680_TMYx.zip</v>
      </c>
    </row>
    <row r="2044" spans="1:10" x14ac:dyDescent="0.25">
      <c r="A2044" t="s">
        <v>6</v>
      </c>
      <c r="B2044" t="s">
        <v>58</v>
      </c>
      <c r="C2044" t="s">
        <v>1033</v>
      </c>
      <c r="D2044">
        <v>715690</v>
      </c>
      <c r="E2044" t="s">
        <v>1034</v>
      </c>
      <c r="F2044">
        <v>50.200600000000001</v>
      </c>
      <c r="G2044">
        <v>-104.71</v>
      </c>
      <c r="H2044">
        <v>-6</v>
      </c>
      <c r="I2044">
        <v>580</v>
      </c>
      <c r="J2044" t="str">
        <f>HYPERLINK("https://climate.onebuilding.org/WMO_Region_4_North_and_Central_America/CAN_Canada/SK_Saskatchewan/CAN_SK_Bratts.Lake.CS.715690_TMYx.2004-2018.zip")</f>
        <v>https://climate.onebuilding.org/WMO_Region_4_North_and_Central_America/CAN_Canada/SK_Saskatchewan/CAN_SK_Bratts.Lake.CS.715690_TMYx.2004-2018.zip</v>
      </c>
    </row>
    <row r="2045" spans="1:10" x14ac:dyDescent="0.25">
      <c r="A2045" t="s">
        <v>6</v>
      </c>
      <c r="B2045" t="s">
        <v>58</v>
      </c>
      <c r="C2045" t="s">
        <v>1033</v>
      </c>
      <c r="D2045">
        <v>715690</v>
      </c>
      <c r="E2045" t="s">
        <v>10</v>
      </c>
      <c r="F2045">
        <v>50.200600000000001</v>
      </c>
      <c r="G2045">
        <v>-104.71</v>
      </c>
      <c r="H2045">
        <v>-6</v>
      </c>
      <c r="I2045">
        <v>580</v>
      </c>
      <c r="J2045" t="str">
        <f>HYPERLINK("https://climate.onebuilding.org/WMO_Region_4_North_and_Central_America/CAN_Canada/SK_Saskatchewan/CAN_SK_Bratts.Lake.CS.715690_TMYx.2007-2021.zip")</f>
        <v>https://climate.onebuilding.org/WMO_Region_4_North_and_Central_America/CAN_Canada/SK_Saskatchewan/CAN_SK_Bratts.Lake.CS.715690_TMYx.2007-2021.zip</v>
      </c>
    </row>
    <row r="2046" spans="1:10" x14ac:dyDescent="0.25">
      <c r="A2046" t="s">
        <v>6</v>
      </c>
      <c r="B2046" t="s">
        <v>58</v>
      </c>
      <c r="C2046" t="s">
        <v>1033</v>
      </c>
      <c r="D2046">
        <v>715690</v>
      </c>
      <c r="E2046" t="s">
        <v>10</v>
      </c>
      <c r="F2046">
        <v>50.200600000000001</v>
      </c>
      <c r="G2046">
        <v>-104.71</v>
      </c>
      <c r="H2046">
        <v>-6</v>
      </c>
      <c r="I2046">
        <v>580</v>
      </c>
      <c r="J2046" t="str">
        <f>HYPERLINK("https://climate.onebuilding.org/WMO_Region_4_North_and_Central_America/CAN_Canada/SK_Saskatchewan/CAN_SK_Bratts.Lake.CS.715690_TMYx.2009-2023.zip")</f>
        <v>https://climate.onebuilding.org/WMO_Region_4_North_and_Central_America/CAN_Canada/SK_Saskatchewan/CAN_SK_Bratts.Lake.CS.715690_TMYx.2009-2023.zip</v>
      </c>
    </row>
    <row r="2047" spans="1:10" x14ac:dyDescent="0.25">
      <c r="A2047" t="s">
        <v>6</v>
      </c>
      <c r="B2047" t="s">
        <v>58</v>
      </c>
      <c r="C2047" t="s">
        <v>1033</v>
      </c>
      <c r="D2047">
        <v>715690</v>
      </c>
      <c r="E2047" t="s">
        <v>10</v>
      </c>
      <c r="F2047">
        <v>50.200600000000001</v>
      </c>
      <c r="G2047">
        <v>-104.71</v>
      </c>
      <c r="H2047">
        <v>-6</v>
      </c>
      <c r="I2047">
        <v>580</v>
      </c>
      <c r="J2047" t="str">
        <f>HYPERLINK("https://climate.onebuilding.org/WMO_Region_4_North_and_Central_America/CAN_Canada/SK_Saskatchewan/CAN_SK_Bratts.Lake.CS.715690_TMYx.zip")</f>
        <v>https://climate.onebuilding.org/WMO_Region_4_North_and_Central_America/CAN_Canada/SK_Saskatchewan/CAN_SK_Bratts.Lake.CS.715690_TMYx.zip</v>
      </c>
    </row>
    <row r="2048" spans="1:10" x14ac:dyDescent="0.25">
      <c r="A2048" t="s">
        <v>6</v>
      </c>
      <c r="B2048" t="s">
        <v>94</v>
      </c>
      <c r="C2048" t="s">
        <v>1035</v>
      </c>
      <c r="D2048">
        <v>715700</v>
      </c>
      <c r="E2048" t="s">
        <v>1036</v>
      </c>
      <c r="F2048">
        <v>50.458889999999997</v>
      </c>
      <c r="G2048">
        <v>-96.010559999999998</v>
      </c>
      <c r="H2048">
        <v>-6</v>
      </c>
      <c r="I2048">
        <v>253</v>
      </c>
      <c r="J2048" t="str">
        <f>HYPERLINK("https://climate.onebuilding.org/WMO_Region_4_North_and_Central_America/CAN_Canada/MB_Manitoba/CAN_MB_Great.Falls.CS.715700_TMYx.2004-2018.zip")</f>
        <v>https://climate.onebuilding.org/WMO_Region_4_North_and_Central_America/CAN_Canada/MB_Manitoba/CAN_MB_Great.Falls.CS.715700_TMYx.2004-2018.zip</v>
      </c>
    </row>
    <row r="2049" spans="1:10" x14ac:dyDescent="0.25">
      <c r="A2049" t="s">
        <v>6</v>
      </c>
      <c r="B2049" t="s">
        <v>94</v>
      </c>
      <c r="C2049" t="s">
        <v>1035</v>
      </c>
      <c r="D2049">
        <v>715700</v>
      </c>
      <c r="E2049" t="s">
        <v>10</v>
      </c>
      <c r="F2049">
        <v>50.458889999999997</v>
      </c>
      <c r="G2049">
        <v>-96.010559999999998</v>
      </c>
      <c r="H2049">
        <v>-6</v>
      </c>
      <c r="I2049">
        <v>253</v>
      </c>
      <c r="J2049" t="str">
        <f>HYPERLINK("https://climate.onebuilding.org/WMO_Region_4_North_and_Central_America/CAN_Canada/MB_Manitoba/CAN_MB_Great.Falls.CS.715700_TMYx.2007-2021.zip")</f>
        <v>https://climate.onebuilding.org/WMO_Region_4_North_and_Central_America/CAN_Canada/MB_Manitoba/CAN_MB_Great.Falls.CS.715700_TMYx.2007-2021.zip</v>
      </c>
    </row>
    <row r="2050" spans="1:10" x14ac:dyDescent="0.25">
      <c r="A2050" t="s">
        <v>6</v>
      </c>
      <c r="B2050" t="s">
        <v>94</v>
      </c>
      <c r="C2050" t="s">
        <v>1035</v>
      </c>
      <c r="D2050">
        <v>715700</v>
      </c>
      <c r="E2050" t="s">
        <v>10</v>
      </c>
      <c r="F2050">
        <v>50.458889999999997</v>
      </c>
      <c r="G2050">
        <v>-96.010559999999998</v>
      </c>
      <c r="H2050">
        <v>-6</v>
      </c>
      <c r="I2050">
        <v>253</v>
      </c>
      <c r="J2050" t="str">
        <f>HYPERLINK("https://climate.onebuilding.org/WMO_Region_4_North_and_Central_America/CAN_Canada/MB_Manitoba/CAN_MB_Great.Falls.CS.715700_TMYx.2009-2023.zip")</f>
        <v>https://climate.onebuilding.org/WMO_Region_4_North_and_Central_America/CAN_Canada/MB_Manitoba/CAN_MB_Great.Falls.CS.715700_TMYx.2009-2023.zip</v>
      </c>
    </row>
    <row r="2051" spans="1:10" x14ac:dyDescent="0.25">
      <c r="A2051" t="s">
        <v>6</v>
      </c>
      <c r="B2051" t="s">
        <v>94</v>
      </c>
      <c r="C2051" t="s">
        <v>1035</v>
      </c>
      <c r="D2051">
        <v>715700</v>
      </c>
      <c r="E2051" t="s">
        <v>10</v>
      </c>
      <c r="F2051">
        <v>50.458889999999997</v>
      </c>
      <c r="G2051">
        <v>-96.010559999999998</v>
      </c>
      <c r="H2051">
        <v>-6</v>
      </c>
      <c r="I2051">
        <v>253</v>
      </c>
      <c r="J2051" t="str">
        <f>HYPERLINK("https://climate.onebuilding.org/WMO_Region_4_North_and_Central_America/CAN_Canada/MB_Manitoba/CAN_MB_Great.Falls.CS.715700_TMYx.zip")</f>
        <v>https://climate.onebuilding.org/WMO_Region_4_North_and_Central_America/CAN_Canada/MB_Manitoba/CAN_MB_Great.Falls.CS.715700_TMYx.zip</v>
      </c>
    </row>
    <row r="2052" spans="1:10" x14ac:dyDescent="0.25">
      <c r="A2052" t="s">
        <v>6</v>
      </c>
      <c r="B2052" t="s">
        <v>17</v>
      </c>
      <c r="C2052" t="s">
        <v>1037</v>
      </c>
      <c r="D2052">
        <v>715710</v>
      </c>
      <c r="E2052" t="s">
        <v>1038</v>
      </c>
      <c r="F2052">
        <v>55.69473</v>
      </c>
      <c r="G2052">
        <v>-119.2303</v>
      </c>
      <c r="H2052">
        <v>-7</v>
      </c>
      <c r="I2052">
        <v>1015</v>
      </c>
      <c r="J2052" t="str">
        <f>HYPERLINK("https://climate.onebuilding.org/WMO_Region_4_North_and_Central_America/CAN_Canada/AB_Alberta/CAN_AB_Spirit.River.Stn.715710_TMYx.2004-2018.zip")</f>
        <v>https://climate.onebuilding.org/WMO_Region_4_North_and_Central_America/CAN_Canada/AB_Alberta/CAN_AB_Spirit.River.Stn.715710_TMYx.2004-2018.zip</v>
      </c>
    </row>
    <row r="2053" spans="1:10" x14ac:dyDescent="0.25">
      <c r="A2053" t="s">
        <v>6</v>
      </c>
      <c r="B2053" t="s">
        <v>17</v>
      </c>
      <c r="C2053" t="s">
        <v>1037</v>
      </c>
      <c r="D2053">
        <v>715710</v>
      </c>
      <c r="E2053" t="s">
        <v>10</v>
      </c>
      <c r="F2053">
        <v>55.69473</v>
      </c>
      <c r="G2053">
        <v>-119.2303</v>
      </c>
      <c r="H2053">
        <v>-7</v>
      </c>
      <c r="I2053">
        <v>1015</v>
      </c>
      <c r="J2053" t="str">
        <f>HYPERLINK("https://climate.onebuilding.org/WMO_Region_4_North_and_Central_America/CAN_Canada/AB_Alberta/CAN_AB_Spirit.River.Stn.715710_TMYx.2007-2021.zip")</f>
        <v>https://climate.onebuilding.org/WMO_Region_4_North_and_Central_America/CAN_Canada/AB_Alberta/CAN_AB_Spirit.River.Stn.715710_TMYx.2007-2021.zip</v>
      </c>
    </row>
    <row r="2054" spans="1:10" x14ac:dyDescent="0.25">
      <c r="A2054" t="s">
        <v>6</v>
      </c>
      <c r="B2054" t="s">
        <v>17</v>
      </c>
      <c r="C2054" t="s">
        <v>1037</v>
      </c>
      <c r="D2054">
        <v>715710</v>
      </c>
      <c r="E2054" t="s">
        <v>10</v>
      </c>
      <c r="F2054">
        <v>55.69473</v>
      </c>
      <c r="G2054">
        <v>-119.2303</v>
      </c>
      <c r="H2054">
        <v>-7</v>
      </c>
      <c r="I2054">
        <v>1015</v>
      </c>
      <c r="J2054" t="str">
        <f>HYPERLINK("https://climate.onebuilding.org/WMO_Region_4_North_and_Central_America/CAN_Canada/AB_Alberta/CAN_AB_Spirit.River.Stn.715710_TMYx.2009-2023.zip")</f>
        <v>https://climate.onebuilding.org/WMO_Region_4_North_and_Central_America/CAN_Canada/AB_Alberta/CAN_AB_Spirit.River.Stn.715710_TMYx.2009-2023.zip</v>
      </c>
    </row>
    <row r="2055" spans="1:10" x14ac:dyDescent="0.25">
      <c r="A2055" t="s">
        <v>6</v>
      </c>
      <c r="B2055" t="s">
        <v>17</v>
      </c>
      <c r="C2055" t="s">
        <v>1037</v>
      </c>
      <c r="D2055">
        <v>715710</v>
      </c>
      <c r="E2055" t="s">
        <v>10</v>
      </c>
      <c r="F2055">
        <v>55.69473</v>
      </c>
      <c r="G2055">
        <v>-119.2303</v>
      </c>
      <c r="H2055">
        <v>-7</v>
      </c>
      <c r="I2055">
        <v>1015</v>
      </c>
      <c r="J2055" t="str">
        <f>HYPERLINK("https://climate.onebuilding.org/WMO_Region_4_North_and_Central_America/CAN_Canada/AB_Alberta/CAN_AB_Spirit.River.Stn.715710_TMYx.zip")</f>
        <v>https://climate.onebuilding.org/WMO_Region_4_North_and_Central_America/CAN_Canada/AB_Alberta/CAN_AB_Spirit.River.Stn.715710_TMYx.zip</v>
      </c>
    </row>
    <row r="2056" spans="1:10" x14ac:dyDescent="0.25">
      <c r="A2056" t="s">
        <v>6</v>
      </c>
      <c r="B2056" t="s">
        <v>94</v>
      </c>
      <c r="C2056" t="s">
        <v>1039</v>
      </c>
      <c r="D2056">
        <v>715720</v>
      </c>
      <c r="E2056" t="s">
        <v>1040</v>
      </c>
      <c r="F2056">
        <v>56.037500000000001</v>
      </c>
      <c r="G2056">
        <v>-96.509699999999995</v>
      </c>
      <c r="H2056">
        <v>-6</v>
      </c>
      <c r="I2056">
        <v>182.9</v>
      </c>
      <c r="J2056" t="str">
        <f>HYPERLINK("https://climate.onebuilding.org/WMO_Region_4_North_and_Central_America/CAN_Canada/MB_Manitoba/CAN_MB_Kelsey.Dam.AP.CS.715720_TMYx.2004-2018.zip")</f>
        <v>https://climate.onebuilding.org/WMO_Region_4_North_and_Central_America/CAN_Canada/MB_Manitoba/CAN_MB_Kelsey.Dam.AP.CS.715720_TMYx.2004-2018.zip</v>
      </c>
    </row>
    <row r="2057" spans="1:10" x14ac:dyDescent="0.25">
      <c r="A2057" t="s">
        <v>6</v>
      </c>
      <c r="B2057" t="s">
        <v>94</v>
      </c>
      <c r="C2057" t="s">
        <v>1039</v>
      </c>
      <c r="D2057">
        <v>715720</v>
      </c>
      <c r="E2057" t="s">
        <v>10</v>
      </c>
      <c r="F2057">
        <v>56.037500000000001</v>
      </c>
      <c r="G2057">
        <v>-96.509699999999995</v>
      </c>
      <c r="H2057">
        <v>-6</v>
      </c>
      <c r="I2057">
        <v>182.9</v>
      </c>
      <c r="J2057" t="str">
        <f>HYPERLINK("https://climate.onebuilding.org/WMO_Region_4_North_and_Central_America/CAN_Canada/MB_Manitoba/CAN_MB_Kelsey.Dam.AP.CS.715720_TMYx.2007-2021.zip")</f>
        <v>https://climate.onebuilding.org/WMO_Region_4_North_and_Central_America/CAN_Canada/MB_Manitoba/CAN_MB_Kelsey.Dam.AP.CS.715720_TMYx.2007-2021.zip</v>
      </c>
    </row>
    <row r="2058" spans="1:10" x14ac:dyDescent="0.25">
      <c r="A2058" t="s">
        <v>6</v>
      </c>
      <c r="B2058" t="s">
        <v>94</v>
      </c>
      <c r="C2058" t="s">
        <v>1039</v>
      </c>
      <c r="D2058">
        <v>715720</v>
      </c>
      <c r="E2058" t="s">
        <v>10</v>
      </c>
      <c r="F2058">
        <v>56.037500000000001</v>
      </c>
      <c r="G2058">
        <v>-96.509699999999995</v>
      </c>
      <c r="H2058">
        <v>-6</v>
      </c>
      <c r="I2058">
        <v>182.9</v>
      </c>
      <c r="J2058" t="str">
        <f>HYPERLINK("https://climate.onebuilding.org/WMO_Region_4_North_and_Central_America/CAN_Canada/MB_Manitoba/CAN_MB_Kelsey.Dam.AP.CS.715720_TMYx.2009-2023.zip")</f>
        <v>https://climate.onebuilding.org/WMO_Region_4_North_and_Central_America/CAN_Canada/MB_Manitoba/CAN_MB_Kelsey.Dam.AP.CS.715720_TMYx.2009-2023.zip</v>
      </c>
    </row>
    <row r="2059" spans="1:10" x14ac:dyDescent="0.25">
      <c r="A2059" t="s">
        <v>6</v>
      </c>
      <c r="B2059" t="s">
        <v>94</v>
      </c>
      <c r="C2059" t="s">
        <v>1039</v>
      </c>
      <c r="D2059">
        <v>715720</v>
      </c>
      <c r="E2059" t="s">
        <v>10</v>
      </c>
      <c r="F2059">
        <v>56.037500000000001</v>
      </c>
      <c r="G2059">
        <v>-96.509699999999995</v>
      </c>
      <c r="H2059">
        <v>-6</v>
      </c>
      <c r="I2059">
        <v>182.9</v>
      </c>
      <c r="J2059" t="str">
        <f>HYPERLINK("https://climate.onebuilding.org/WMO_Region_4_North_and_Central_America/CAN_Canada/MB_Manitoba/CAN_MB_Kelsey.Dam.AP.CS.715720_TMYx.zip")</f>
        <v>https://climate.onebuilding.org/WMO_Region_4_North_and_Central_America/CAN_Canada/MB_Manitoba/CAN_MB_Kelsey.Dam.AP.CS.715720_TMYx.zip</v>
      </c>
    </row>
    <row r="2060" spans="1:10" x14ac:dyDescent="0.25">
      <c r="A2060" t="s">
        <v>6</v>
      </c>
      <c r="B2060" t="s">
        <v>130</v>
      </c>
      <c r="C2060" t="s">
        <v>1041</v>
      </c>
      <c r="D2060">
        <v>715730</v>
      </c>
      <c r="E2060" t="s">
        <v>1042</v>
      </c>
      <c r="F2060">
        <v>42.866700000000002</v>
      </c>
      <c r="G2060">
        <v>-80.55</v>
      </c>
      <c r="H2060">
        <v>-5</v>
      </c>
      <c r="I2060">
        <v>231.7</v>
      </c>
      <c r="J2060" t="str">
        <f>HYPERLINK("https://climate.onebuilding.org/WMO_Region_4_North_and_Central_America/CAN_Canada/ON_Ontario/CAN_ON_Delhi.CS.715730_TMYx.2004-2018.zip")</f>
        <v>https://climate.onebuilding.org/WMO_Region_4_North_and_Central_America/CAN_Canada/ON_Ontario/CAN_ON_Delhi.CS.715730_TMYx.2004-2018.zip</v>
      </c>
    </row>
    <row r="2061" spans="1:10" x14ac:dyDescent="0.25">
      <c r="A2061" t="s">
        <v>6</v>
      </c>
      <c r="B2061" t="s">
        <v>130</v>
      </c>
      <c r="C2061" t="s">
        <v>1041</v>
      </c>
      <c r="D2061">
        <v>715730</v>
      </c>
      <c r="E2061" t="s">
        <v>10</v>
      </c>
      <c r="F2061">
        <v>42.866700000000002</v>
      </c>
      <c r="G2061">
        <v>-80.55</v>
      </c>
      <c r="H2061">
        <v>-5</v>
      </c>
      <c r="I2061">
        <v>231.7</v>
      </c>
      <c r="J2061" t="str">
        <f>HYPERLINK("https://climate.onebuilding.org/WMO_Region_4_North_and_Central_America/CAN_Canada/ON_Ontario/CAN_ON_Delhi.CS.715730_TMYx.2007-2021.zip")</f>
        <v>https://climate.onebuilding.org/WMO_Region_4_North_and_Central_America/CAN_Canada/ON_Ontario/CAN_ON_Delhi.CS.715730_TMYx.2007-2021.zip</v>
      </c>
    </row>
    <row r="2062" spans="1:10" x14ac:dyDescent="0.25">
      <c r="A2062" t="s">
        <v>6</v>
      </c>
      <c r="B2062" t="s">
        <v>130</v>
      </c>
      <c r="C2062" t="s">
        <v>1041</v>
      </c>
      <c r="D2062">
        <v>715730</v>
      </c>
      <c r="E2062" t="s">
        <v>10</v>
      </c>
      <c r="F2062">
        <v>42.866700000000002</v>
      </c>
      <c r="G2062">
        <v>-80.55</v>
      </c>
      <c r="H2062">
        <v>-5</v>
      </c>
      <c r="I2062">
        <v>231.7</v>
      </c>
      <c r="J2062" t="str">
        <f>HYPERLINK("https://climate.onebuilding.org/WMO_Region_4_North_and_Central_America/CAN_Canada/ON_Ontario/CAN_ON_Delhi.CS.715730_TMYx.2009-2023.zip")</f>
        <v>https://climate.onebuilding.org/WMO_Region_4_North_and_Central_America/CAN_Canada/ON_Ontario/CAN_ON_Delhi.CS.715730_TMYx.2009-2023.zip</v>
      </c>
    </row>
    <row r="2063" spans="1:10" x14ac:dyDescent="0.25">
      <c r="A2063" t="s">
        <v>6</v>
      </c>
      <c r="B2063" t="s">
        <v>130</v>
      </c>
      <c r="C2063" t="s">
        <v>1041</v>
      </c>
      <c r="D2063">
        <v>715730</v>
      </c>
      <c r="E2063" t="s">
        <v>10</v>
      </c>
      <c r="F2063">
        <v>42.866700000000002</v>
      </c>
      <c r="G2063">
        <v>-80.55</v>
      </c>
      <c r="H2063">
        <v>-5</v>
      </c>
      <c r="I2063">
        <v>231.7</v>
      </c>
      <c r="J2063" t="str">
        <f>HYPERLINK("https://climate.onebuilding.org/WMO_Region_4_North_and_Central_America/CAN_Canada/ON_Ontario/CAN_ON_Delhi.CS.715730_TMYx.zip")</f>
        <v>https://climate.onebuilding.org/WMO_Region_4_North_and_Central_America/CAN_Canada/ON_Ontario/CAN_ON_Delhi.CS.715730_TMYx.zip</v>
      </c>
    </row>
    <row r="2064" spans="1:10" x14ac:dyDescent="0.25">
      <c r="A2064" t="s">
        <v>6</v>
      </c>
      <c r="B2064" t="s">
        <v>45</v>
      </c>
      <c r="C2064" t="s">
        <v>1043</v>
      </c>
      <c r="D2064">
        <v>715740</v>
      </c>
      <c r="E2064" t="s">
        <v>1044</v>
      </c>
      <c r="F2064">
        <v>47.629199999999997</v>
      </c>
      <c r="G2064">
        <v>-65.7483</v>
      </c>
      <c r="H2064">
        <v>-4</v>
      </c>
      <c r="I2064">
        <v>58.8</v>
      </c>
      <c r="J2064" t="str">
        <f>HYPERLINK("https://climate.onebuilding.org/WMO_Region_4_North_and_Central_America/CAN_Canada/NB_New_Brunswick/CAN_NB_Bathurst.Rgnl.AP.715740_TMYx.2004-2018.zip")</f>
        <v>https://climate.onebuilding.org/WMO_Region_4_North_and_Central_America/CAN_Canada/NB_New_Brunswick/CAN_NB_Bathurst.Rgnl.AP.715740_TMYx.2004-2018.zip</v>
      </c>
    </row>
    <row r="2065" spans="1:10" x14ac:dyDescent="0.25">
      <c r="A2065" t="s">
        <v>6</v>
      </c>
      <c r="B2065" t="s">
        <v>45</v>
      </c>
      <c r="C2065" t="s">
        <v>1043</v>
      </c>
      <c r="D2065">
        <v>715740</v>
      </c>
      <c r="E2065" t="s">
        <v>10</v>
      </c>
      <c r="F2065">
        <v>47.631</v>
      </c>
      <c r="G2065">
        <v>-65.741</v>
      </c>
      <c r="H2065">
        <v>-4</v>
      </c>
      <c r="I2065">
        <v>58.8</v>
      </c>
      <c r="J2065" t="str">
        <f>HYPERLINK("https://climate.onebuilding.org/WMO_Region_4_North_and_Central_America/CAN_Canada/NB_New_Brunswick/CAN_NB_Bathurst.Rgnl.AP.715740_TMYx.2007-2021.zip")</f>
        <v>https://climate.onebuilding.org/WMO_Region_4_North_and_Central_America/CAN_Canada/NB_New_Brunswick/CAN_NB_Bathurst.Rgnl.AP.715740_TMYx.2007-2021.zip</v>
      </c>
    </row>
    <row r="2066" spans="1:10" x14ac:dyDescent="0.25">
      <c r="A2066" t="s">
        <v>6</v>
      </c>
      <c r="B2066" t="s">
        <v>45</v>
      </c>
      <c r="C2066" t="s">
        <v>1043</v>
      </c>
      <c r="D2066">
        <v>715740</v>
      </c>
      <c r="E2066" t="s">
        <v>10</v>
      </c>
      <c r="F2066">
        <v>47.631</v>
      </c>
      <c r="G2066">
        <v>-65.741</v>
      </c>
      <c r="H2066">
        <v>-4</v>
      </c>
      <c r="I2066">
        <v>58.8</v>
      </c>
      <c r="J2066" t="str">
        <f>HYPERLINK("https://climate.onebuilding.org/WMO_Region_4_North_and_Central_America/CAN_Canada/NB_New_Brunswick/CAN_NB_Bathurst.Rgnl.AP.715740_TMYx.2009-2023.zip")</f>
        <v>https://climate.onebuilding.org/WMO_Region_4_North_and_Central_America/CAN_Canada/NB_New_Brunswick/CAN_NB_Bathurst.Rgnl.AP.715740_TMYx.2009-2023.zip</v>
      </c>
    </row>
    <row r="2067" spans="1:10" x14ac:dyDescent="0.25">
      <c r="A2067" t="s">
        <v>6</v>
      </c>
      <c r="B2067" t="s">
        <v>45</v>
      </c>
      <c r="C2067" t="s">
        <v>1043</v>
      </c>
      <c r="D2067">
        <v>715740</v>
      </c>
      <c r="E2067" t="s">
        <v>10</v>
      </c>
      <c r="F2067">
        <v>47.631</v>
      </c>
      <c r="G2067">
        <v>-65.741</v>
      </c>
      <c r="H2067">
        <v>-4</v>
      </c>
      <c r="I2067">
        <v>58.8</v>
      </c>
      <c r="J2067" t="str">
        <f>HYPERLINK("https://climate.onebuilding.org/WMO_Region_4_North_and_Central_America/CAN_Canada/NB_New_Brunswick/CAN_NB_Bathurst.Rgnl.AP.715740_TMYx.zip")</f>
        <v>https://climate.onebuilding.org/WMO_Region_4_North_and_Central_America/CAN_Canada/NB_New_Brunswick/CAN_NB_Bathurst.Rgnl.AP.715740_TMYx.zip</v>
      </c>
    </row>
    <row r="2068" spans="1:10" x14ac:dyDescent="0.25">
      <c r="A2068" t="s">
        <v>6</v>
      </c>
      <c r="B2068" t="s">
        <v>42</v>
      </c>
      <c r="C2068" t="s">
        <v>1045</v>
      </c>
      <c r="D2068">
        <v>715750</v>
      </c>
      <c r="E2068" t="s">
        <v>10</v>
      </c>
      <c r="F2068">
        <v>64.230800000000002</v>
      </c>
      <c r="G2068">
        <v>-76.530600000000007</v>
      </c>
      <c r="H2068">
        <v>-5</v>
      </c>
      <c r="I2068">
        <v>50</v>
      </c>
      <c r="J2068" t="str">
        <f>HYPERLINK("https://climate.onebuilding.org/WMO_Region_4_North_and_Central_America/CAN_Canada/NU_Nunavut/CAN_NU_Cape.Dorset.CS.715750_TMYx.2007-2021.zip")</f>
        <v>https://climate.onebuilding.org/WMO_Region_4_North_and_Central_America/CAN_Canada/NU_Nunavut/CAN_NU_Cape.Dorset.CS.715750_TMYx.2007-2021.zip</v>
      </c>
    </row>
    <row r="2069" spans="1:10" x14ac:dyDescent="0.25">
      <c r="A2069" t="s">
        <v>6</v>
      </c>
      <c r="B2069" t="s">
        <v>42</v>
      </c>
      <c r="C2069" t="s">
        <v>1045</v>
      </c>
      <c r="D2069">
        <v>715750</v>
      </c>
      <c r="E2069" t="s">
        <v>10</v>
      </c>
      <c r="F2069">
        <v>64.230800000000002</v>
      </c>
      <c r="G2069">
        <v>-76.530600000000007</v>
      </c>
      <c r="H2069">
        <v>-5</v>
      </c>
      <c r="I2069">
        <v>50</v>
      </c>
      <c r="J2069" t="str">
        <f>HYPERLINK("https://climate.onebuilding.org/WMO_Region_4_North_and_Central_America/CAN_Canada/NU_Nunavut/CAN_NU_Cape.Dorset.CS.715750_TMYx.2009-2023.zip")</f>
        <v>https://climate.onebuilding.org/WMO_Region_4_North_and_Central_America/CAN_Canada/NU_Nunavut/CAN_NU_Cape.Dorset.CS.715750_TMYx.2009-2023.zip</v>
      </c>
    </row>
    <row r="2070" spans="1:10" x14ac:dyDescent="0.25">
      <c r="A2070" t="s">
        <v>6</v>
      </c>
      <c r="B2070" t="s">
        <v>42</v>
      </c>
      <c r="C2070" t="s">
        <v>1045</v>
      </c>
      <c r="D2070">
        <v>715750</v>
      </c>
      <c r="E2070" t="s">
        <v>10</v>
      </c>
      <c r="F2070">
        <v>64.230800000000002</v>
      </c>
      <c r="G2070">
        <v>-76.530600000000007</v>
      </c>
      <c r="H2070">
        <v>-5</v>
      </c>
      <c r="I2070">
        <v>50</v>
      </c>
      <c r="J2070" t="str">
        <f>HYPERLINK("https://climate.onebuilding.org/WMO_Region_4_North_and_Central_America/CAN_Canada/NU_Nunavut/CAN_NU_Cape.Dorset.CS.715750_TMYx.zip")</f>
        <v>https://climate.onebuilding.org/WMO_Region_4_North_and_Central_America/CAN_Canada/NU_Nunavut/CAN_NU_Cape.Dorset.CS.715750_TMYx.zip</v>
      </c>
    </row>
    <row r="2071" spans="1:10" x14ac:dyDescent="0.25">
      <c r="A2071" t="s">
        <v>6</v>
      </c>
      <c r="B2071" t="s">
        <v>42</v>
      </c>
      <c r="C2071" t="s">
        <v>1046</v>
      </c>
      <c r="D2071">
        <v>715760</v>
      </c>
      <c r="E2071" t="s">
        <v>10</v>
      </c>
      <c r="F2071">
        <v>72.693299999999994</v>
      </c>
      <c r="G2071">
        <v>-77.957499999999996</v>
      </c>
      <c r="H2071">
        <v>-5</v>
      </c>
      <c r="I2071">
        <v>55.3</v>
      </c>
      <c r="J2071" t="str">
        <f>HYPERLINK("https://climate.onebuilding.org/WMO_Region_4_North_and_Central_America/CAN_Canada/NU_Nunavut/CAN_NU_Pond.Inlet.CS.715760_TMYx.2007-2021.zip")</f>
        <v>https://climate.onebuilding.org/WMO_Region_4_North_and_Central_America/CAN_Canada/NU_Nunavut/CAN_NU_Pond.Inlet.CS.715760_TMYx.2007-2021.zip</v>
      </c>
    </row>
    <row r="2072" spans="1:10" x14ac:dyDescent="0.25">
      <c r="A2072" t="s">
        <v>6</v>
      </c>
      <c r="B2072" t="s">
        <v>42</v>
      </c>
      <c r="C2072" t="s">
        <v>1046</v>
      </c>
      <c r="D2072">
        <v>715760</v>
      </c>
      <c r="E2072" t="s">
        <v>10</v>
      </c>
      <c r="F2072">
        <v>72.693299999999994</v>
      </c>
      <c r="G2072">
        <v>-77.957499999999996</v>
      </c>
      <c r="H2072">
        <v>-5</v>
      </c>
      <c r="I2072">
        <v>55.3</v>
      </c>
      <c r="J2072" t="str">
        <f>HYPERLINK("https://climate.onebuilding.org/WMO_Region_4_North_and_Central_America/CAN_Canada/NU_Nunavut/CAN_NU_Pond.Inlet.CS.715760_TMYx.2009-2023.zip")</f>
        <v>https://climate.onebuilding.org/WMO_Region_4_North_and_Central_America/CAN_Canada/NU_Nunavut/CAN_NU_Pond.Inlet.CS.715760_TMYx.2009-2023.zip</v>
      </c>
    </row>
    <row r="2073" spans="1:10" x14ac:dyDescent="0.25">
      <c r="A2073" t="s">
        <v>6</v>
      </c>
      <c r="B2073" t="s">
        <v>42</v>
      </c>
      <c r="C2073" t="s">
        <v>1046</v>
      </c>
      <c r="D2073">
        <v>715760</v>
      </c>
      <c r="E2073" t="s">
        <v>10</v>
      </c>
      <c r="F2073">
        <v>72.693299999999994</v>
      </c>
      <c r="G2073">
        <v>-77.957499999999996</v>
      </c>
      <c r="H2073">
        <v>-5</v>
      </c>
      <c r="I2073">
        <v>55.3</v>
      </c>
      <c r="J2073" t="str">
        <f>HYPERLINK("https://climate.onebuilding.org/WMO_Region_4_North_and_Central_America/CAN_Canada/NU_Nunavut/CAN_NU_Pond.Inlet.CS.715760_TMYx.zip")</f>
        <v>https://climate.onebuilding.org/WMO_Region_4_North_and_Central_America/CAN_Canada/NU_Nunavut/CAN_NU_Pond.Inlet.CS.715760_TMYx.zip</v>
      </c>
    </row>
    <row r="2074" spans="1:10" x14ac:dyDescent="0.25">
      <c r="A2074" t="s">
        <v>6</v>
      </c>
      <c r="B2074" t="s">
        <v>94</v>
      </c>
      <c r="C2074" t="s">
        <v>1047</v>
      </c>
      <c r="D2074">
        <v>715770</v>
      </c>
      <c r="E2074" t="s">
        <v>1048</v>
      </c>
      <c r="F2074">
        <v>50.616999999999997</v>
      </c>
      <c r="G2074">
        <v>-96.966999999999999</v>
      </c>
      <c r="H2074">
        <v>-6</v>
      </c>
      <c r="I2074">
        <v>217</v>
      </c>
      <c r="J2074" t="str">
        <f>HYPERLINK("https://climate.onebuilding.org/WMO_Region_4_North_and_Central_America/CAN_Canada/MB_Manitoba/CAN_MB_Gimli.Harbour.715770_TMYx.2004-2018.zip")</f>
        <v>https://climate.onebuilding.org/WMO_Region_4_North_and_Central_America/CAN_Canada/MB_Manitoba/CAN_MB_Gimli.Harbour.715770_TMYx.2004-2018.zip</v>
      </c>
    </row>
    <row r="2075" spans="1:10" x14ac:dyDescent="0.25">
      <c r="A2075" t="s">
        <v>6</v>
      </c>
      <c r="B2075" t="s">
        <v>94</v>
      </c>
      <c r="C2075" t="s">
        <v>1047</v>
      </c>
      <c r="D2075">
        <v>715770</v>
      </c>
      <c r="E2075" t="s">
        <v>10</v>
      </c>
      <c r="F2075">
        <v>50.63111</v>
      </c>
      <c r="G2075">
        <v>-96.982219999999998</v>
      </c>
      <c r="H2075">
        <v>-6</v>
      </c>
      <c r="I2075">
        <v>217</v>
      </c>
      <c r="J2075" t="str">
        <f>HYPERLINK("https://climate.onebuilding.org/WMO_Region_4_North_and_Central_America/CAN_Canada/MB_Manitoba/CAN_MB_Gimli.Harbour.715770_TMYx.2007-2021.zip")</f>
        <v>https://climate.onebuilding.org/WMO_Region_4_North_and_Central_America/CAN_Canada/MB_Manitoba/CAN_MB_Gimli.Harbour.715770_TMYx.2007-2021.zip</v>
      </c>
    </row>
    <row r="2076" spans="1:10" x14ac:dyDescent="0.25">
      <c r="A2076" t="s">
        <v>6</v>
      </c>
      <c r="B2076" t="s">
        <v>94</v>
      </c>
      <c r="C2076" t="s">
        <v>1047</v>
      </c>
      <c r="D2076">
        <v>715770</v>
      </c>
      <c r="E2076" t="s">
        <v>10</v>
      </c>
      <c r="F2076">
        <v>50.63111</v>
      </c>
      <c r="G2076">
        <v>-96.982219999999998</v>
      </c>
      <c r="H2076">
        <v>-6</v>
      </c>
      <c r="I2076">
        <v>217</v>
      </c>
      <c r="J2076" t="str">
        <f>HYPERLINK("https://climate.onebuilding.org/WMO_Region_4_North_and_Central_America/CAN_Canada/MB_Manitoba/CAN_MB_Gimli.Harbour.715770_TMYx.2009-2023.zip")</f>
        <v>https://climate.onebuilding.org/WMO_Region_4_North_and_Central_America/CAN_Canada/MB_Manitoba/CAN_MB_Gimli.Harbour.715770_TMYx.2009-2023.zip</v>
      </c>
    </row>
    <row r="2077" spans="1:10" x14ac:dyDescent="0.25">
      <c r="A2077" t="s">
        <v>6</v>
      </c>
      <c r="B2077" t="s">
        <v>94</v>
      </c>
      <c r="C2077" t="s">
        <v>1047</v>
      </c>
      <c r="D2077">
        <v>715770</v>
      </c>
      <c r="E2077" t="s">
        <v>10</v>
      </c>
      <c r="F2077">
        <v>50.63111</v>
      </c>
      <c r="G2077">
        <v>-96.982219999999998</v>
      </c>
      <c r="H2077">
        <v>-6</v>
      </c>
      <c r="I2077">
        <v>217</v>
      </c>
      <c r="J2077" t="str">
        <f>HYPERLINK("https://climate.onebuilding.org/WMO_Region_4_North_and_Central_America/CAN_Canada/MB_Manitoba/CAN_MB_Gimli.Harbour.715770_TMYx.zip")</f>
        <v>https://climate.onebuilding.org/WMO_Region_4_North_and_Central_America/CAN_Canada/MB_Manitoba/CAN_MB_Gimli.Harbour.715770_TMYx.zip</v>
      </c>
    </row>
    <row r="2078" spans="1:10" x14ac:dyDescent="0.25">
      <c r="A2078" t="s">
        <v>6</v>
      </c>
      <c r="B2078" t="s">
        <v>14</v>
      </c>
      <c r="C2078" t="s">
        <v>1049</v>
      </c>
      <c r="D2078">
        <v>715780</v>
      </c>
      <c r="E2078" t="s">
        <v>1050</v>
      </c>
      <c r="F2078">
        <v>46.8369</v>
      </c>
      <c r="G2078">
        <v>-71.197199999999995</v>
      </c>
      <c r="H2078">
        <v>-5</v>
      </c>
      <c r="I2078">
        <v>10</v>
      </c>
      <c r="J2078" t="str">
        <f>HYPERLINK("https://climate.onebuilding.org/WMO_Region_4_North_and_Central_America/CAN_Canada/QC_Quebec/CAN_QC_Quebec.City-Beauport.715780_TMYx.2004-2018.zip")</f>
        <v>https://climate.onebuilding.org/WMO_Region_4_North_and_Central_America/CAN_Canada/QC_Quebec/CAN_QC_Quebec.City-Beauport.715780_TMYx.2004-2018.zip</v>
      </c>
    </row>
    <row r="2079" spans="1:10" x14ac:dyDescent="0.25">
      <c r="A2079" t="s">
        <v>6</v>
      </c>
      <c r="B2079" t="s">
        <v>14</v>
      </c>
      <c r="C2079" t="s">
        <v>1049</v>
      </c>
      <c r="D2079">
        <v>715780</v>
      </c>
      <c r="E2079" t="s">
        <v>10</v>
      </c>
      <c r="F2079">
        <v>46.8369</v>
      </c>
      <c r="G2079">
        <v>-71.197199999999995</v>
      </c>
      <c r="H2079">
        <v>-5</v>
      </c>
      <c r="I2079">
        <v>10</v>
      </c>
      <c r="J2079" t="str">
        <f>HYPERLINK("https://climate.onebuilding.org/WMO_Region_4_North_and_Central_America/CAN_Canada/QC_Quebec/CAN_QC_Quebec.City-Beauport.715780_TMYx.2007-2021.zip")</f>
        <v>https://climate.onebuilding.org/WMO_Region_4_North_and_Central_America/CAN_Canada/QC_Quebec/CAN_QC_Quebec.City-Beauport.715780_TMYx.2007-2021.zip</v>
      </c>
    </row>
    <row r="2080" spans="1:10" x14ac:dyDescent="0.25">
      <c r="A2080" t="s">
        <v>6</v>
      </c>
      <c r="B2080" t="s">
        <v>14</v>
      </c>
      <c r="C2080" t="s">
        <v>1049</v>
      </c>
      <c r="D2080">
        <v>715780</v>
      </c>
      <c r="E2080" t="s">
        <v>10</v>
      </c>
      <c r="F2080">
        <v>46.8369</v>
      </c>
      <c r="G2080">
        <v>-71.197199999999995</v>
      </c>
      <c r="H2080">
        <v>-5</v>
      </c>
      <c r="I2080">
        <v>10</v>
      </c>
      <c r="J2080" t="str">
        <f>HYPERLINK("https://climate.onebuilding.org/WMO_Region_4_North_and_Central_America/CAN_Canada/QC_Quebec/CAN_QC_Quebec.City-Beauport.715780_TMYx.2009-2023.zip")</f>
        <v>https://climate.onebuilding.org/WMO_Region_4_North_and_Central_America/CAN_Canada/QC_Quebec/CAN_QC_Quebec.City-Beauport.715780_TMYx.2009-2023.zip</v>
      </c>
    </row>
    <row r="2081" spans="1:10" x14ac:dyDescent="0.25">
      <c r="A2081" t="s">
        <v>6</v>
      </c>
      <c r="B2081" t="s">
        <v>14</v>
      </c>
      <c r="C2081" t="s">
        <v>1049</v>
      </c>
      <c r="D2081">
        <v>715780</v>
      </c>
      <c r="E2081" t="s">
        <v>10</v>
      </c>
      <c r="F2081">
        <v>46.8369</v>
      </c>
      <c r="G2081">
        <v>-71.197199999999995</v>
      </c>
      <c r="H2081">
        <v>-5</v>
      </c>
      <c r="I2081">
        <v>10</v>
      </c>
      <c r="J2081" t="str">
        <f>HYPERLINK("https://climate.onebuilding.org/WMO_Region_4_North_and_Central_America/CAN_Canada/QC_Quebec/CAN_QC_Quebec.City-Beauport.715780_TMYx.zip")</f>
        <v>https://climate.onebuilding.org/WMO_Region_4_North_and_Central_America/CAN_Canada/QC_Quebec/CAN_QC_Quebec.City-Beauport.715780_TMYx.zip</v>
      </c>
    </row>
    <row r="2082" spans="1:10" x14ac:dyDescent="0.25">
      <c r="A2082" t="s">
        <v>6</v>
      </c>
      <c r="B2082" t="s">
        <v>94</v>
      </c>
      <c r="C2082" t="s">
        <v>1051</v>
      </c>
      <c r="D2082">
        <v>715790</v>
      </c>
      <c r="E2082" t="s">
        <v>1052</v>
      </c>
      <c r="F2082">
        <v>49.888300000000001</v>
      </c>
      <c r="G2082">
        <v>-97.129499999999993</v>
      </c>
      <c r="H2082">
        <v>-6</v>
      </c>
      <c r="I2082">
        <v>230</v>
      </c>
      <c r="J2082" t="str">
        <f>HYPERLINK("https://climate.onebuilding.org/WMO_Region_4_North_and_Central_America/CAN_Canada/MB_Manitoba/CAN_MB_Winnipeg.The.Forks.715790_TMYx.2004-2018.zip")</f>
        <v>https://climate.onebuilding.org/WMO_Region_4_North_and_Central_America/CAN_Canada/MB_Manitoba/CAN_MB_Winnipeg.The.Forks.715790_TMYx.2004-2018.zip</v>
      </c>
    </row>
    <row r="2083" spans="1:10" x14ac:dyDescent="0.25">
      <c r="A2083" t="s">
        <v>6</v>
      </c>
      <c r="B2083" t="s">
        <v>94</v>
      </c>
      <c r="C2083" t="s">
        <v>1051</v>
      </c>
      <c r="D2083">
        <v>715790</v>
      </c>
      <c r="E2083" t="s">
        <v>10</v>
      </c>
      <c r="F2083">
        <v>49.888300000000001</v>
      </c>
      <c r="G2083">
        <v>-97.129499999999993</v>
      </c>
      <c r="H2083">
        <v>-6</v>
      </c>
      <c r="I2083">
        <v>230</v>
      </c>
      <c r="J2083" t="str">
        <f>HYPERLINK("https://climate.onebuilding.org/WMO_Region_4_North_and_Central_America/CAN_Canada/MB_Manitoba/CAN_MB_Winnipeg.The.Forks.715790_TMYx.2007-2021.zip")</f>
        <v>https://climate.onebuilding.org/WMO_Region_4_North_and_Central_America/CAN_Canada/MB_Manitoba/CAN_MB_Winnipeg.The.Forks.715790_TMYx.2007-2021.zip</v>
      </c>
    </row>
    <row r="2084" spans="1:10" x14ac:dyDescent="0.25">
      <c r="A2084" t="s">
        <v>6</v>
      </c>
      <c r="B2084" t="s">
        <v>94</v>
      </c>
      <c r="C2084" t="s">
        <v>1051</v>
      </c>
      <c r="D2084">
        <v>715790</v>
      </c>
      <c r="E2084" t="s">
        <v>10</v>
      </c>
      <c r="F2084">
        <v>49.888300000000001</v>
      </c>
      <c r="G2084">
        <v>-97.129499999999993</v>
      </c>
      <c r="H2084">
        <v>-6</v>
      </c>
      <c r="I2084">
        <v>230</v>
      </c>
      <c r="J2084" t="str">
        <f>HYPERLINK("https://climate.onebuilding.org/WMO_Region_4_North_and_Central_America/CAN_Canada/MB_Manitoba/CAN_MB_Winnipeg.The.Forks.715790_TMYx.2009-2023.zip")</f>
        <v>https://climate.onebuilding.org/WMO_Region_4_North_and_Central_America/CAN_Canada/MB_Manitoba/CAN_MB_Winnipeg.The.Forks.715790_TMYx.2009-2023.zip</v>
      </c>
    </row>
    <row r="2085" spans="1:10" x14ac:dyDescent="0.25">
      <c r="A2085" t="s">
        <v>6</v>
      </c>
      <c r="B2085" t="s">
        <v>94</v>
      </c>
      <c r="C2085" t="s">
        <v>1051</v>
      </c>
      <c r="D2085">
        <v>715790</v>
      </c>
      <c r="E2085" t="s">
        <v>10</v>
      </c>
      <c r="F2085">
        <v>49.888300000000001</v>
      </c>
      <c r="G2085">
        <v>-97.129499999999993</v>
      </c>
      <c r="H2085">
        <v>-6</v>
      </c>
      <c r="I2085">
        <v>230</v>
      </c>
      <c r="J2085" t="str">
        <f>HYPERLINK("https://climate.onebuilding.org/WMO_Region_4_North_and_Central_America/CAN_Canada/MB_Manitoba/CAN_MB_Winnipeg.The.Forks.715790_TMYx.zip")</f>
        <v>https://climate.onebuilding.org/WMO_Region_4_North_and_Central_America/CAN_Canada/MB_Manitoba/CAN_MB_Winnipeg.The.Forks.715790_TMYx.zip</v>
      </c>
    </row>
    <row r="2086" spans="1:10" x14ac:dyDescent="0.25">
      <c r="A2086" t="s">
        <v>6</v>
      </c>
      <c r="B2086" t="s">
        <v>42</v>
      </c>
      <c r="C2086" t="s">
        <v>1053</v>
      </c>
      <c r="D2086">
        <v>715800</v>
      </c>
      <c r="E2086" t="s">
        <v>1054</v>
      </c>
      <c r="F2086">
        <v>69.533000000000001</v>
      </c>
      <c r="G2086">
        <v>-93.566999999999993</v>
      </c>
      <c r="H2086">
        <v>-7</v>
      </c>
      <c r="I2086">
        <v>28</v>
      </c>
      <c r="J2086" t="str">
        <f>HYPERLINK("https://climate.onebuilding.org/WMO_Region_4_North_and_Central_America/CAN_Canada/NU_Nunavut/CAN_NU_Taloyoak.AP.715800_TMYx.2004-2018.zip")</f>
        <v>https://climate.onebuilding.org/WMO_Region_4_North_and_Central_America/CAN_Canada/NU_Nunavut/CAN_NU_Taloyoak.AP.715800_TMYx.2004-2018.zip</v>
      </c>
    </row>
    <row r="2087" spans="1:10" x14ac:dyDescent="0.25">
      <c r="A2087" t="s">
        <v>6</v>
      </c>
      <c r="B2087" t="s">
        <v>42</v>
      </c>
      <c r="C2087" t="s">
        <v>1053</v>
      </c>
      <c r="D2087">
        <v>715800</v>
      </c>
      <c r="E2087" t="s">
        <v>10</v>
      </c>
      <c r="F2087">
        <v>69.55</v>
      </c>
      <c r="G2087">
        <v>-93.583340000000007</v>
      </c>
      <c r="H2087">
        <v>-7</v>
      </c>
      <c r="I2087">
        <v>28</v>
      </c>
      <c r="J2087" t="str">
        <f>HYPERLINK("https://climate.onebuilding.org/WMO_Region_4_North_and_Central_America/CAN_Canada/NU_Nunavut/CAN_NU_Taloyoak.AP.715800_TMYx.2007-2021.zip")</f>
        <v>https://climate.onebuilding.org/WMO_Region_4_North_and_Central_America/CAN_Canada/NU_Nunavut/CAN_NU_Taloyoak.AP.715800_TMYx.2007-2021.zip</v>
      </c>
    </row>
    <row r="2088" spans="1:10" x14ac:dyDescent="0.25">
      <c r="A2088" t="s">
        <v>6</v>
      </c>
      <c r="B2088" t="s">
        <v>42</v>
      </c>
      <c r="C2088" t="s">
        <v>1053</v>
      </c>
      <c r="D2088">
        <v>715800</v>
      </c>
      <c r="E2088" t="s">
        <v>10</v>
      </c>
      <c r="F2088">
        <v>69.55</v>
      </c>
      <c r="G2088">
        <v>-93.583340000000007</v>
      </c>
      <c r="H2088">
        <v>-7</v>
      </c>
      <c r="I2088">
        <v>28</v>
      </c>
      <c r="J2088" t="str">
        <f>HYPERLINK("https://climate.onebuilding.org/WMO_Region_4_North_and_Central_America/CAN_Canada/NU_Nunavut/CAN_NU_Taloyoak.AP.715800_TMYx.2009-2023.zip")</f>
        <v>https://climate.onebuilding.org/WMO_Region_4_North_and_Central_America/CAN_Canada/NU_Nunavut/CAN_NU_Taloyoak.AP.715800_TMYx.2009-2023.zip</v>
      </c>
    </row>
    <row r="2089" spans="1:10" x14ac:dyDescent="0.25">
      <c r="A2089" t="s">
        <v>6</v>
      </c>
      <c r="B2089" t="s">
        <v>42</v>
      </c>
      <c r="C2089" t="s">
        <v>1053</v>
      </c>
      <c r="D2089">
        <v>715800</v>
      </c>
      <c r="E2089" t="s">
        <v>10</v>
      </c>
      <c r="F2089">
        <v>69.55</v>
      </c>
      <c r="G2089">
        <v>-93.583340000000007</v>
      </c>
      <c r="H2089">
        <v>-7</v>
      </c>
      <c r="I2089">
        <v>28</v>
      </c>
      <c r="J2089" t="str">
        <f>HYPERLINK("https://climate.onebuilding.org/WMO_Region_4_North_and_Central_America/CAN_Canada/NU_Nunavut/CAN_NU_Taloyoak.AP.715800_TMYx.zip")</f>
        <v>https://climate.onebuilding.org/WMO_Region_4_North_and_Central_America/CAN_Canada/NU_Nunavut/CAN_NU_Taloyoak.AP.715800_TMYx.zip</v>
      </c>
    </row>
    <row r="2090" spans="1:10" x14ac:dyDescent="0.25">
      <c r="A2090" t="s">
        <v>6</v>
      </c>
      <c r="B2090" t="s">
        <v>130</v>
      </c>
      <c r="C2090" t="s">
        <v>1055</v>
      </c>
      <c r="D2090">
        <v>715810</v>
      </c>
      <c r="E2090" t="s">
        <v>1056</v>
      </c>
      <c r="F2090">
        <v>45.533299999999997</v>
      </c>
      <c r="G2090">
        <v>-78.2667</v>
      </c>
      <c r="H2090">
        <v>-5</v>
      </c>
      <c r="I2090">
        <v>397</v>
      </c>
      <c r="J2090" t="str">
        <f>HYPERLINK("https://climate.onebuilding.org/WMO_Region_4_North_and_Central_America/CAN_Canada/ON_Ontario/CAN_ON_Algonquin.Park.East.Gate.715810_TMYx.2004-2018.zip")</f>
        <v>https://climate.onebuilding.org/WMO_Region_4_North_and_Central_America/CAN_Canada/ON_Ontario/CAN_ON_Algonquin.Park.East.Gate.715810_TMYx.2004-2018.zip</v>
      </c>
    </row>
    <row r="2091" spans="1:10" x14ac:dyDescent="0.25">
      <c r="A2091" t="s">
        <v>6</v>
      </c>
      <c r="B2091" t="s">
        <v>130</v>
      </c>
      <c r="C2091" t="s">
        <v>1055</v>
      </c>
      <c r="D2091">
        <v>715810</v>
      </c>
      <c r="E2091" t="s">
        <v>10</v>
      </c>
      <c r="F2091">
        <v>45.536110000000001</v>
      </c>
      <c r="G2091">
        <v>-78.263050000000007</v>
      </c>
      <c r="H2091">
        <v>-5</v>
      </c>
      <c r="I2091">
        <v>397</v>
      </c>
      <c r="J2091" t="str">
        <f>HYPERLINK("https://climate.onebuilding.org/WMO_Region_4_North_and_Central_America/CAN_Canada/ON_Ontario/CAN_ON_Algonquin.Park.East.Gate.715810_TMYx.2007-2021.zip")</f>
        <v>https://climate.onebuilding.org/WMO_Region_4_North_and_Central_America/CAN_Canada/ON_Ontario/CAN_ON_Algonquin.Park.East.Gate.715810_TMYx.2007-2021.zip</v>
      </c>
    </row>
    <row r="2092" spans="1:10" x14ac:dyDescent="0.25">
      <c r="A2092" t="s">
        <v>6</v>
      </c>
      <c r="B2092" t="s">
        <v>130</v>
      </c>
      <c r="C2092" t="s">
        <v>1055</v>
      </c>
      <c r="D2092">
        <v>715810</v>
      </c>
      <c r="E2092" t="s">
        <v>10</v>
      </c>
      <c r="F2092">
        <v>45.536110000000001</v>
      </c>
      <c r="G2092">
        <v>-78.263050000000007</v>
      </c>
      <c r="H2092">
        <v>-5</v>
      </c>
      <c r="I2092">
        <v>397</v>
      </c>
      <c r="J2092" t="str">
        <f>HYPERLINK("https://climate.onebuilding.org/WMO_Region_4_North_and_Central_America/CAN_Canada/ON_Ontario/CAN_ON_Algonquin.Park.East.Gate.715810_TMYx.2009-2023.zip")</f>
        <v>https://climate.onebuilding.org/WMO_Region_4_North_and_Central_America/CAN_Canada/ON_Ontario/CAN_ON_Algonquin.Park.East.Gate.715810_TMYx.2009-2023.zip</v>
      </c>
    </row>
    <row r="2093" spans="1:10" x14ac:dyDescent="0.25">
      <c r="A2093" t="s">
        <v>6</v>
      </c>
      <c r="B2093" t="s">
        <v>130</v>
      </c>
      <c r="C2093" t="s">
        <v>1055</v>
      </c>
      <c r="D2093">
        <v>715810</v>
      </c>
      <c r="E2093" t="s">
        <v>10</v>
      </c>
      <c r="F2093">
        <v>45.536110000000001</v>
      </c>
      <c r="G2093">
        <v>-78.263050000000007</v>
      </c>
      <c r="H2093">
        <v>-5</v>
      </c>
      <c r="I2093">
        <v>397</v>
      </c>
      <c r="J2093" t="str">
        <f>HYPERLINK("https://climate.onebuilding.org/WMO_Region_4_North_and_Central_America/CAN_Canada/ON_Ontario/CAN_ON_Algonquin.Park.East.Gate.715810_TMYx.zip")</f>
        <v>https://climate.onebuilding.org/WMO_Region_4_North_and_Central_America/CAN_Canada/ON_Ontario/CAN_ON_Algonquin.Park.East.Gate.715810_TMYx.zip</v>
      </c>
    </row>
    <row r="2094" spans="1:10" x14ac:dyDescent="0.25">
      <c r="A2094" t="s">
        <v>6</v>
      </c>
      <c r="B2094" t="s">
        <v>55</v>
      </c>
      <c r="C2094" t="s">
        <v>1057</v>
      </c>
      <c r="D2094">
        <v>715820</v>
      </c>
      <c r="E2094" t="s">
        <v>1058</v>
      </c>
      <c r="F2094">
        <v>52.185000000000002</v>
      </c>
      <c r="G2094">
        <v>-128.1567</v>
      </c>
      <c r="H2094">
        <v>-8</v>
      </c>
      <c r="I2094">
        <v>43</v>
      </c>
      <c r="J2094" t="str">
        <f>HYPERLINK("https://climate.onebuilding.org/WMO_Region_4_North_and_Central_America/CAN_Canada/BC_British_Columbia/CAN_BC_Bella.Bella.AP.715820_TMYx.2004-2018.zip")</f>
        <v>https://climate.onebuilding.org/WMO_Region_4_North_and_Central_America/CAN_Canada/BC_British_Columbia/CAN_BC_Bella.Bella.AP.715820_TMYx.2004-2018.zip</v>
      </c>
    </row>
    <row r="2095" spans="1:10" x14ac:dyDescent="0.25">
      <c r="A2095" t="s">
        <v>6</v>
      </c>
      <c r="B2095" t="s">
        <v>55</v>
      </c>
      <c r="C2095" t="s">
        <v>1057</v>
      </c>
      <c r="D2095">
        <v>715820</v>
      </c>
      <c r="E2095" t="s">
        <v>10</v>
      </c>
      <c r="F2095">
        <v>52.180999999999997</v>
      </c>
      <c r="G2095">
        <v>-128.154</v>
      </c>
      <c r="H2095">
        <v>-8</v>
      </c>
      <c r="I2095">
        <v>43</v>
      </c>
      <c r="J2095" t="str">
        <f>HYPERLINK("https://climate.onebuilding.org/WMO_Region_4_North_and_Central_America/CAN_Canada/BC_British_Columbia/CAN_BC_Bella.Bella.AP.715820_TMYx.2007-2021.zip")</f>
        <v>https://climate.onebuilding.org/WMO_Region_4_North_and_Central_America/CAN_Canada/BC_British_Columbia/CAN_BC_Bella.Bella.AP.715820_TMYx.2007-2021.zip</v>
      </c>
    </row>
    <row r="2096" spans="1:10" x14ac:dyDescent="0.25">
      <c r="A2096" t="s">
        <v>6</v>
      </c>
      <c r="B2096" t="s">
        <v>55</v>
      </c>
      <c r="C2096" t="s">
        <v>1057</v>
      </c>
      <c r="D2096">
        <v>715820</v>
      </c>
      <c r="E2096" t="s">
        <v>10</v>
      </c>
      <c r="F2096">
        <v>52.180999999999997</v>
      </c>
      <c r="G2096">
        <v>-128.154</v>
      </c>
      <c r="H2096">
        <v>-8</v>
      </c>
      <c r="I2096">
        <v>43</v>
      </c>
      <c r="J2096" t="str">
        <f>HYPERLINK("https://climate.onebuilding.org/WMO_Region_4_North_and_Central_America/CAN_Canada/BC_British_Columbia/CAN_BC_Bella.Bella.AP.715820_TMYx.2009-2023.zip")</f>
        <v>https://climate.onebuilding.org/WMO_Region_4_North_and_Central_America/CAN_Canada/BC_British_Columbia/CAN_BC_Bella.Bella.AP.715820_TMYx.2009-2023.zip</v>
      </c>
    </row>
    <row r="2097" spans="1:10" x14ac:dyDescent="0.25">
      <c r="A2097" t="s">
        <v>6</v>
      </c>
      <c r="B2097" t="s">
        <v>55</v>
      </c>
      <c r="C2097" t="s">
        <v>1057</v>
      </c>
      <c r="D2097">
        <v>715820</v>
      </c>
      <c r="E2097" t="s">
        <v>10</v>
      </c>
      <c r="F2097">
        <v>52.180999999999997</v>
      </c>
      <c r="G2097">
        <v>-128.154</v>
      </c>
      <c r="H2097">
        <v>-8</v>
      </c>
      <c r="I2097">
        <v>43</v>
      </c>
      <c r="J2097" t="str">
        <f>HYPERLINK("https://climate.onebuilding.org/WMO_Region_4_North_and_Central_America/CAN_Canada/BC_British_Columbia/CAN_BC_Bella.Bella.AP.715820_TMYx.zip")</f>
        <v>https://climate.onebuilding.org/WMO_Region_4_North_and_Central_America/CAN_Canada/BC_British_Columbia/CAN_BC_Bella.Bella.AP.715820_TMYx.zip</v>
      </c>
    </row>
    <row r="2098" spans="1:10" x14ac:dyDescent="0.25">
      <c r="A2098" t="s">
        <v>6</v>
      </c>
      <c r="B2098" t="s">
        <v>48</v>
      </c>
      <c r="C2098" t="s">
        <v>1059</v>
      </c>
      <c r="D2098">
        <v>715830</v>
      </c>
      <c r="E2098" t="s">
        <v>10</v>
      </c>
      <c r="F2098">
        <v>68.254499999999993</v>
      </c>
      <c r="G2098">
        <v>-122.1028</v>
      </c>
      <c r="H2098">
        <v>-7</v>
      </c>
      <c r="I2098">
        <v>548</v>
      </c>
      <c r="J2098" t="str">
        <f>HYPERLINK("https://climate.onebuilding.org/WMO_Region_4_North_and_Central_America/CAN_Canada/NT_Northwest_Territories/CAN_NT_Qavvik.Lake.715830_TMYx.2007-2021.zip")</f>
        <v>https://climate.onebuilding.org/WMO_Region_4_North_and_Central_America/CAN_Canada/NT_Northwest_Territories/CAN_NT_Qavvik.Lake.715830_TMYx.2007-2021.zip</v>
      </c>
    </row>
    <row r="2099" spans="1:10" x14ac:dyDescent="0.25">
      <c r="A2099" t="s">
        <v>6</v>
      </c>
      <c r="B2099" t="s">
        <v>48</v>
      </c>
      <c r="C2099" t="s">
        <v>1059</v>
      </c>
      <c r="D2099">
        <v>715830</v>
      </c>
      <c r="E2099" t="s">
        <v>10</v>
      </c>
      <c r="F2099">
        <v>68.254499999999993</v>
      </c>
      <c r="G2099">
        <v>-122.1028</v>
      </c>
      <c r="H2099">
        <v>-7</v>
      </c>
      <c r="I2099">
        <v>548</v>
      </c>
      <c r="J2099" t="str">
        <f>HYPERLINK("https://climate.onebuilding.org/WMO_Region_4_North_and_Central_America/CAN_Canada/NT_Northwest_Territories/CAN_NT_Qavvik.Lake.715830_TMYx.zip")</f>
        <v>https://climate.onebuilding.org/WMO_Region_4_North_and_Central_America/CAN_Canada/NT_Northwest_Territories/CAN_NT_Qavvik.Lake.715830_TMYx.zip</v>
      </c>
    </row>
    <row r="2100" spans="1:10" x14ac:dyDescent="0.25">
      <c r="A2100" t="s">
        <v>6</v>
      </c>
      <c r="B2100" t="s">
        <v>14</v>
      </c>
      <c r="C2100" t="s">
        <v>1060</v>
      </c>
      <c r="D2100">
        <v>715840</v>
      </c>
      <c r="E2100" t="s">
        <v>1061</v>
      </c>
      <c r="F2100">
        <v>50.267000000000003</v>
      </c>
      <c r="G2100">
        <v>-63.6</v>
      </c>
      <c r="H2100">
        <v>-5</v>
      </c>
      <c r="I2100">
        <v>37</v>
      </c>
      <c r="J2100" t="str">
        <f>HYPERLINK("https://climate.onebuilding.org/WMO_Region_4_North_and_Central_America/CAN_Canada/QC_Quebec/CAN_QC_Havre-St.Pierre.AP.715840_TMYx.2004-2018.zip")</f>
        <v>https://climate.onebuilding.org/WMO_Region_4_North_and_Central_America/CAN_Canada/QC_Quebec/CAN_QC_Havre-St.Pierre.AP.715840_TMYx.2004-2018.zip</v>
      </c>
    </row>
    <row r="2101" spans="1:10" x14ac:dyDescent="0.25">
      <c r="A2101" t="s">
        <v>6</v>
      </c>
      <c r="B2101" t="s">
        <v>14</v>
      </c>
      <c r="C2101" t="s">
        <v>1060</v>
      </c>
      <c r="D2101">
        <v>715840</v>
      </c>
      <c r="E2101" t="s">
        <v>10</v>
      </c>
      <c r="F2101">
        <v>50.281939999999999</v>
      </c>
      <c r="G2101">
        <v>-63.61139</v>
      </c>
      <c r="H2101">
        <v>-5</v>
      </c>
      <c r="I2101">
        <v>37</v>
      </c>
      <c r="J2101" t="str">
        <f>HYPERLINK("https://climate.onebuilding.org/WMO_Region_4_North_and_Central_America/CAN_Canada/QC_Quebec/CAN_QC_Havre-St.Pierre.AP.715840_TMYx.2007-2021.zip")</f>
        <v>https://climate.onebuilding.org/WMO_Region_4_North_and_Central_America/CAN_Canada/QC_Quebec/CAN_QC_Havre-St.Pierre.AP.715840_TMYx.2007-2021.zip</v>
      </c>
    </row>
    <row r="2102" spans="1:10" x14ac:dyDescent="0.25">
      <c r="A2102" t="s">
        <v>6</v>
      </c>
      <c r="B2102" t="s">
        <v>14</v>
      </c>
      <c r="C2102" t="s">
        <v>1060</v>
      </c>
      <c r="D2102">
        <v>715840</v>
      </c>
      <c r="E2102" t="s">
        <v>10</v>
      </c>
      <c r="F2102">
        <v>50.281939999999999</v>
      </c>
      <c r="G2102">
        <v>-63.61139</v>
      </c>
      <c r="H2102">
        <v>-5</v>
      </c>
      <c r="I2102">
        <v>37</v>
      </c>
      <c r="J2102" t="str">
        <f>HYPERLINK("https://climate.onebuilding.org/WMO_Region_4_North_and_Central_America/CAN_Canada/QC_Quebec/CAN_QC_Havre-St.Pierre.AP.715840_TMYx.2009-2023.zip")</f>
        <v>https://climate.onebuilding.org/WMO_Region_4_North_and_Central_America/CAN_Canada/QC_Quebec/CAN_QC_Havre-St.Pierre.AP.715840_TMYx.2009-2023.zip</v>
      </c>
    </row>
    <row r="2103" spans="1:10" x14ac:dyDescent="0.25">
      <c r="A2103" t="s">
        <v>6</v>
      </c>
      <c r="B2103" t="s">
        <v>14</v>
      </c>
      <c r="C2103" t="s">
        <v>1060</v>
      </c>
      <c r="D2103">
        <v>715840</v>
      </c>
      <c r="E2103" t="s">
        <v>10</v>
      </c>
      <c r="F2103">
        <v>50.281939999999999</v>
      </c>
      <c r="G2103">
        <v>-63.61139</v>
      </c>
      <c r="H2103">
        <v>-5</v>
      </c>
      <c r="I2103">
        <v>37</v>
      </c>
      <c r="J2103" t="str">
        <f>HYPERLINK("https://climate.onebuilding.org/WMO_Region_4_North_and_Central_America/CAN_Canada/QC_Quebec/CAN_QC_Havre-St.Pierre.AP.715840_TMYx.zip")</f>
        <v>https://climate.onebuilding.org/WMO_Region_4_North_and_Central_America/CAN_Canada/QC_Quebec/CAN_QC_Havre-St.Pierre.AP.715840_TMYx.zip</v>
      </c>
    </row>
    <row r="2104" spans="1:10" x14ac:dyDescent="0.25">
      <c r="A2104" t="s">
        <v>6</v>
      </c>
      <c r="B2104" t="s">
        <v>17</v>
      </c>
      <c r="C2104" t="s">
        <v>1062</v>
      </c>
      <c r="D2104">
        <v>715850</v>
      </c>
      <c r="E2104" t="s">
        <v>1063</v>
      </c>
      <c r="F2104">
        <v>56.6511</v>
      </c>
      <c r="G2104">
        <v>-111.2133</v>
      </c>
      <c r="H2104">
        <v>-7</v>
      </c>
      <c r="I2104">
        <v>368.8</v>
      </c>
      <c r="J2104" t="str">
        <f>HYPERLINK("https://climate.onebuilding.org/WMO_Region_4_North_and_Central_America/CAN_Canada/AB_Alberta/CAN_AB_Fort.McMurray.AP.715850_TMYx.2004-2018.zip")</f>
        <v>https://climate.onebuilding.org/WMO_Region_4_North_and_Central_America/CAN_Canada/AB_Alberta/CAN_AB_Fort.McMurray.AP.715850_TMYx.2004-2018.zip</v>
      </c>
    </row>
    <row r="2105" spans="1:10" x14ac:dyDescent="0.25">
      <c r="A2105" t="s">
        <v>6</v>
      </c>
      <c r="B2105" t="s">
        <v>17</v>
      </c>
      <c r="C2105" t="s">
        <v>1062</v>
      </c>
      <c r="D2105">
        <v>715850</v>
      </c>
      <c r="E2105" t="s">
        <v>10</v>
      </c>
      <c r="F2105">
        <v>56.65</v>
      </c>
      <c r="G2105">
        <v>-111.2208</v>
      </c>
      <c r="H2105">
        <v>-7</v>
      </c>
      <c r="I2105">
        <v>368.8</v>
      </c>
      <c r="J2105" t="str">
        <f>HYPERLINK("https://climate.onebuilding.org/WMO_Region_4_North_and_Central_America/CAN_Canada/AB_Alberta/CAN_AB_Fort.McMurray.AP.715850_TMYx.2007-2021.zip")</f>
        <v>https://climate.onebuilding.org/WMO_Region_4_North_and_Central_America/CAN_Canada/AB_Alberta/CAN_AB_Fort.McMurray.AP.715850_TMYx.2007-2021.zip</v>
      </c>
    </row>
    <row r="2106" spans="1:10" x14ac:dyDescent="0.25">
      <c r="A2106" t="s">
        <v>6</v>
      </c>
      <c r="B2106" t="s">
        <v>17</v>
      </c>
      <c r="C2106" t="s">
        <v>1062</v>
      </c>
      <c r="D2106">
        <v>715850</v>
      </c>
      <c r="E2106" t="s">
        <v>10</v>
      </c>
      <c r="F2106">
        <v>56.65</v>
      </c>
      <c r="G2106">
        <v>-111.2208</v>
      </c>
      <c r="H2106">
        <v>-7</v>
      </c>
      <c r="I2106">
        <v>368.8</v>
      </c>
      <c r="J2106" t="str">
        <f>HYPERLINK("https://climate.onebuilding.org/WMO_Region_4_North_and_Central_America/CAN_Canada/AB_Alberta/CAN_AB_Fort.McMurray.AP.715850_TMYx.2009-2023.zip")</f>
        <v>https://climate.onebuilding.org/WMO_Region_4_North_and_Central_America/CAN_Canada/AB_Alberta/CAN_AB_Fort.McMurray.AP.715850_TMYx.2009-2023.zip</v>
      </c>
    </row>
    <row r="2107" spans="1:10" x14ac:dyDescent="0.25">
      <c r="A2107" t="s">
        <v>6</v>
      </c>
      <c r="B2107" t="s">
        <v>17</v>
      </c>
      <c r="C2107" t="s">
        <v>1062</v>
      </c>
      <c r="D2107">
        <v>715850</v>
      </c>
      <c r="E2107" t="s">
        <v>10</v>
      </c>
      <c r="F2107">
        <v>56.65</v>
      </c>
      <c r="G2107">
        <v>-111.2208</v>
      </c>
      <c r="H2107">
        <v>-7</v>
      </c>
      <c r="I2107">
        <v>368.8</v>
      </c>
      <c r="J2107" t="str">
        <f>HYPERLINK("https://climate.onebuilding.org/WMO_Region_4_North_and_Central_America/CAN_Canada/AB_Alberta/CAN_AB_Fort.McMurray.AP.715850_TMYx.zip")</f>
        <v>https://climate.onebuilding.org/WMO_Region_4_North_and_Central_America/CAN_Canada/AB_Alberta/CAN_AB_Fort.McMurray.AP.715850_TMYx.zip</v>
      </c>
    </row>
    <row r="2108" spans="1:10" x14ac:dyDescent="0.25">
      <c r="A2108" t="s">
        <v>6</v>
      </c>
      <c r="B2108" t="s">
        <v>58</v>
      </c>
      <c r="C2108" t="s">
        <v>1064</v>
      </c>
      <c r="D2108">
        <v>715860</v>
      </c>
      <c r="E2108" t="s">
        <v>10</v>
      </c>
      <c r="F2108">
        <v>55.1464</v>
      </c>
      <c r="G2108">
        <v>-105.27030000000001</v>
      </c>
      <c r="H2108">
        <v>-6</v>
      </c>
      <c r="I2108">
        <v>372</v>
      </c>
      <c r="J2108" t="str">
        <f>HYPERLINK("https://climate.onebuilding.org/WMO_Region_4_North_and_Central_America/CAN_Canada/SK_Saskatchewan/CAN_SK_La.Ronge.RCS.715860_TMYx.2007-2021.zip")</f>
        <v>https://climate.onebuilding.org/WMO_Region_4_North_and_Central_America/CAN_Canada/SK_Saskatchewan/CAN_SK_La.Ronge.RCS.715860_TMYx.2007-2021.zip</v>
      </c>
    </row>
    <row r="2109" spans="1:10" x14ac:dyDescent="0.25">
      <c r="A2109" t="s">
        <v>6</v>
      </c>
      <c r="B2109" t="s">
        <v>58</v>
      </c>
      <c r="C2109" t="s">
        <v>1064</v>
      </c>
      <c r="D2109">
        <v>715860</v>
      </c>
      <c r="E2109" t="s">
        <v>10</v>
      </c>
      <c r="F2109">
        <v>55.1464</v>
      </c>
      <c r="G2109">
        <v>-105.27030000000001</v>
      </c>
      <c r="H2109">
        <v>-6</v>
      </c>
      <c r="I2109">
        <v>372</v>
      </c>
      <c r="J2109" t="str">
        <f>HYPERLINK("https://climate.onebuilding.org/WMO_Region_4_North_and_Central_America/CAN_Canada/SK_Saskatchewan/CAN_SK_La.Ronge.RCS.715860_TMYx.2009-2023.zip")</f>
        <v>https://climate.onebuilding.org/WMO_Region_4_North_and_Central_America/CAN_Canada/SK_Saskatchewan/CAN_SK_La.Ronge.RCS.715860_TMYx.2009-2023.zip</v>
      </c>
    </row>
    <row r="2110" spans="1:10" x14ac:dyDescent="0.25">
      <c r="A2110" t="s">
        <v>6</v>
      </c>
      <c r="B2110" t="s">
        <v>58</v>
      </c>
      <c r="C2110" t="s">
        <v>1064</v>
      </c>
      <c r="D2110">
        <v>715860</v>
      </c>
      <c r="E2110" t="s">
        <v>10</v>
      </c>
      <c r="F2110">
        <v>55.1464</v>
      </c>
      <c r="G2110">
        <v>-105.27030000000001</v>
      </c>
      <c r="H2110">
        <v>-6</v>
      </c>
      <c r="I2110">
        <v>372</v>
      </c>
      <c r="J2110" t="str">
        <f>HYPERLINK("https://climate.onebuilding.org/WMO_Region_4_North_and_Central_America/CAN_Canada/SK_Saskatchewan/CAN_SK_La.Ronge.RCS.715860_TMYx.zip")</f>
        <v>https://climate.onebuilding.org/WMO_Region_4_North_and_Central_America/CAN_Canada/SK_Saskatchewan/CAN_SK_La.Ronge.RCS.715860_TMYx.zip</v>
      </c>
    </row>
    <row r="2111" spans="1:10" x14ac:dyDescent="0.25">
      <c r="A2111" t="s">
        <v>6</v>
      </c>
      <c r="B2111" t="s">
        <v>130</v>
      </c>
      <c r="C2111" t="s">
        <v>1065</v>
      </c>
      <c r="D2111">
        <v>715870</v>
      </c>
      <c r="E2111" t="s">
        <v>1066</v>
      </c>
      <c r="F2111">
        <v>53.0642</v>
      </c>
      <c r="G2111">
        <v>-93.344399999999993</v>
      </c>
      <c r="H2111">
        <v>-6</v>
      </c>
      <c r="I2111">
        <v>289.89999999999998</v>
      </c>
      <c r="J2111" t="str">
        <f>HYPERLINK("https://climate.onebuilding.org/WMO_Region_4_North_and_Central_America/CAN_Canada/ON_Ontario/CAN_ON_Sandy.Lake.AP.715870_TMYx.2004-2018.zip")</f>
        <v>https://climate.onebuilding.org/WMO_Region_4_North_and_Central_America/CAN_Canada/ON_Ontario/CAN_ON_Sandy.Lake.AP.715870_TMYx.2004-2018.zip</v>
      </c>
    </row>
    <row r="2112" spans="1:10" x14ac:dyDescent="0.25">
      <c r="A2112" t="s">
        <v>6</v>
      </c>
      <c r="B2112" t="s">
        <v>130</v>
      </c>
      <c r="C2112" t="s">
        <v>1065</v>
      </c>
      <c r="D2112">
        <v>715870</v>
      </c>
      <c r="E2112" t="s">
        <v>10</v>
      </c>
      <c r="F2112">
        <v>53.063000000000002</v>
      </c>
      <c r="G2112">
        <v>-93.343999999999994</v>
      </c>
      <c r="H2112">
        <v>-6</v>
      </c>
      <c r="I2112">
        <v>289.89999999999998</v>
      </c>
      <c r="J2112" t="str">
        <f>HYPERLINK("https://climate.onebuilding.org/WMO_Region_4_North_and_Central_America/CAN_Canada/ON_Ontario/CAN_ON_Sandy.Lake.AP.715870_TMYx.2007-2021.zip")</f>
        <v>https://climate.onebuilding.org/WMO_Region_4_North_and_Central_America/CAN_Canada/ON_Ontario/CAN_ON_Sandy.Lake.AP.715870_TMYx.2007-2021.zip</v>
      </c>
    </row>
    <row r="2113" spans="1:10" x14ac:dyDescent="0.25">
      <c r="A2113" t="s">
        <v>6</v>
      </c>
      <c r="B2113" t="s">
        <v>130</v>
      </c>
      <c r="C2113" t="s">
        <v>1065</v>
      </c>
      <c r="D2113">
        <v>715870</v>
      </c>
      <c r="E2113" t="s">
        <v>10</v>
      </c>
      <c r="F2113">
        <v>53.063000000000002</v>
      </c>
      <c r="G2113">
        <v>-93.343999999999994</v>
      </c>
      <c r="H2113">
        <v>-6</v>
      </c>
      <c r="I2113">
        <v>289.89999999999998</v>
      </c>
      <c r="J2113" t="str">
        <f>HYPERLINK("https://climate.onebuilding.org/WMO_Region_4_North_and_Central_America/CAN_Canada/ON_Ontario/CAN_ON_Sandy.Lake.AP.715870_TMYx.2009-2023.zip")</f>
        <v>https://climate.onebuilding.org/WMO_Region_4_North_and_Central_America/CAN_Canada/ON_Ontario/CAN_ON_Sandy.Lake.AP.715870_TMYx.2009-2023.zip</v>
      </c>
    </row>
    <row r="2114" spans="1:10" x14ac:dyDescent="0.25">
      <c r="A2114" t="s">
        <v>6</v>
      </c>
      <c r="B2114" t="s">
        <v>130</v>
      </c>
      <c r="C2114" t="s">
        <v>1065</v>
      </c>
      <c r="D2114">
        <v>715870</v>
      </c>
      <c r="E2114" t="s">
        <v>10</v>
      </c>
      <c r="F2114">
        <v>53.063000000000002</v>
      </c>
      <c r="G2114">
        <v>-93.343999999999994</v>
      </c>
      <c r="H2114">
        <v>-6</v>
      </c>
      <c r="I2114">
        <v>289.89999999999998</v>
      </c>
      <c r="J2114" t="str">
        <f>HYPERLINK("https://climate.onebuilding.org/WMO_Region_4_North_and_Central_America/CAN_Canada/ON_Ontario/CAN_ON_Sandy.Lake.AP.715870_TMYx.zip")</f>
        <v>https://climate.onebuilding.org/WMO_Region_4_North_and_Central_America/CAN_Canada/ON_Ontario/CAN_ON_Sandy.Lake.AP.715870_TMYx.zip</v>
      </c>
    </row>
    <row r="2115" spans="1:10" x14ac:dyDescent="0.25">
      <c r="A2115" t="s">
        <v>6</v>
      </c>
      <c r="B2115" t="s">
        <v>11</v>
      </c>
      <c r="C2115" t="s">
        <v>1067</v>
      </c>
      <c r="D2115">
        <v>715880</v>
      </c>
      <c r="E2115" t="s">
        <v>1068</v>
      </c>
      <c r="F2115">
        <v>49.57</v>
      </c>
      <c r="G2115">
        <v>-57.877800000000001</v>
      </c>
      <c r="H2115">
        <v>-3.5</v>
      </c>
      <c r="I2115">
        <v>67.7</v>
      </c>
      <c r="J2115" t="str">
        <f>HYPERLINK("https://climate.onebuilding.org/WMO_Region_4_North_and_Central_America/CAN_Canada/NL_Newfoundland_and_Labrador/CAN_NL_Rocky.Harbour.715880_TMYx.2004-2018.zip")</f>
        <v>https://climate.onebuilding.org/WMO_Region_4_North_and_Central_America/CAN_Canada/NL_Newfoundland_and_Labrador/CAN_NL_Rocky.Harbour.715880_TMYx.2004-2018.zip</v>
      </c>
    </row>
    <row r="2116" spans="1:10" x14ac:dyDescent="0.25">
      <c r="A2116" t="s">
        <v>6</v>
      </c>
      <c r="B2116" t="s">
        <v>11</v>
      </c>
      <c r="C2116" t="s">
        <v>1067</v>
      </c>
      <c r="D2116">
        <v>715880</v>
      </c>
      <c r="E2116" t="s">
        <v>10</v>
      </c>
      <c r="F2116">
        <v>49.571599999999997</v>
      </c>
      <c r="G2116">
        <v>-57.876300000000001</v>
      </c>
      <c r="H2116">
        <v>-3.5</v>
      </c>
      <c r="I2116">
        <v>67.7</v>
      </c>
      <c r="J2116" t="str">
        <f>HYPERLINK("https://climate.onebuilding.org/WMO_Region_4_North_and_Central_America/CAN_Canada/NL_Newfoundland_and_Labrador/CAN_NL_Rocky.Harbour.715880_TMYx.2007-2021.zip")</f>
        <v>https://climate.onebuilding.org/WMO_Region_4_North_and_Central_America/CAN_Canada/NL_Newfoundland_and_Labrador/CAN_NL_Rocky.Harbour.715880_TMYx.2007-2021.zip</v>
      </c>
    </row>
    <row r="2117" spans="1:10" x14ac:dyDescent="0.25">
      <c r="A2117" t="s">
        <v>6</v>
      </c>
      <c r="B2117" t="s">
        <v>11</v>
      </c>
      <c r="C2117" t="s">
        <v>1067</v>
      </c>
      <c r="D2117">
        <v>715880</v>
      </c>
      <c r="E2117" t="s">
        <v>10</v>
      </c>
      <c r="F2117">
        <v>49.571599999999997</v>
      </c>
      <c r="G2117">
        <v>-57.876300000000001</v>
      </c>
      <c r="H2117">
        <v>-3.5</v>
      </c>
      <c r="I2117">
        <v>67.7</v>
      </c>
      <c r="J2117" t="str">
        <f>HYPERLINK("https://climate.onebuilding.org/WMO_Region_4_North_and_Central_America/CAN_Canada/NL_Newfoundland_and_Labrador/CAN_NL_Rocky.Harbour.715880_TMYx.2009-2023.zip")</f>
        <v>https://climate.onebuilding.org/WMO_Region_4_North_and_Central_America/CAN_Canada/NL_Newfoundland_and_Labrador/CAN_NL_Rocky.Harbour.715880_TMYx.2009-2023.zip</v>
      </c>
    </row>
    <row r="2118" spans="1:10" x14ac:dyDescent="0.25">
      <c r="A2118" t="s">
        <v>6</v>
      </c>
      <c r="B2118" t="s">
        <v>11</v>
      </c>
      <c r="C2118" t="s">
        <v>1067</v>
      </c>
      <c r="D2118">
        <v>715880</v>
      </c>
      <c r="E2118" t="s">
        <v>10</v>
      </c>
      <c r="F2118">
        <v>49.571599999999997</v>
      </c>
      <c r="G2118">
        <v>-57.876300000000001</v>
      </c>
      <c r="H2118">
        <v>-3.5</v>
      </c>
      <c r="I2118">
        <v>67.7</v>
      </c>
      <c r="J2118" t="str">
        <f>HYPERLINK("https://climate.onebuilding.org/WMO_Region_4_North_and_Central_America/CAN_Canada/NL_Newfoundland_and_Labrador/CAN_NL_Rocky.Harbour.715880_TMYx.zip")</f>
        <v>https://climate.onebuilding.org/WMO_Region_4_North_and_Central_America/CAN_Canada/NL_Newfoundland_and_Labrador/CAN_NL_Rocky.Harbour.715880_TMYx.zip</v>
      </c>
    </row>
    <row r="2119" spans="1:10" x14ac:dyDescent="0.25">
      <c r="A2119" t="s">
        <v>6</v>
      </c>
      <c r="B2119" t="s">
        <v>11</v>
      </c>
      <c r="C2119" t="s">
        <v>1069</v>
      </c>
      <c r="D2119">
        <v>715890</v>
      </c>
      <c r="E2119" t="s">
        <v>1070</v>
      </c>
      <c r="F2119">
        <v>48.556899999999999</v>
      </c>
      <c r="G2119">
        <v>-53.974499999999999</v>
      </c>
      <c r="H2119">
        <v>-3.5</v>
      </c>
      <c r="I2119">
        <v>107</v>
      </c>
      <c r="J2119" t="str">
        <f>HYPERLINK("https://climate.onebuilding.org/WMO_Region_4_North_and_Central_America/CAN_Canada/NL_Newfoundland_and_Labrador/CAN_NL_Terra.Nova.Natl.Park.715890_TMYx.2004-2018.zip")</f>
        <v>https://climate.onebuilding.org/WMO_Region_4_North_and_Central_America/CAN_Canada/NL_Newfoundland_and_Labrador/CAN_NL_Terra.Nova.Natl.Park.715890_TMYx.2004-2018.zip</v>
      </c>
    </row>
    <row r="2120" spans="1:10" x14ac:dyDescent="0.25">
      <c r="A2120" t="s">
        <v>6</v>
      </c>
      <c r="B2120" t="s">
        <v>11</v>
      </c>
      <c r="C2120" t="s">
        <v>1069</v>
      </c>
      <c r="D2120">
        <v>715890</v>
      </c>
      <c r="E2120" t="s">
        <v>10</v>
      </c>
      <c r="F2120">
        <v>48.556899999999999</v>
      </c>
      <c r="G2120">
        <v>-53.974499999999999</v>
      </c>
      <c r="H2120">
        <v>-3.5</v>
      </c>
      <c r="I2120">
        <v>107</v>
      </c>
      <c r="J2120" t="str">
        <f>HYPERLINK("https://climate.onebuilding.org/WMO_Region_4_North_and_Central_America/CAN_Canada/NL_Newfoundland_and_Labrador/CAN_NL_Terra.Nova.Natl.Park.715890_TMYx.2007-2021.zip")</f>
        <v>https://climate.onebuilding.org/WMO_Region_4_North_and_Central_America/CAN_Canada/NL_Newfoundland_and_Labrador/CAN_NL_Terra.Nova.Natl.Park.715890_TMYx.2007-2021.zip</v>
      </c>
    </row>
    <row r="2121" spans="1:10" x14ac:dyDescent="0.25">
      <c r="A2121" t="s">
        <v>6</v>
      </c>
      <c r="B2121" t="s">
        <v>11</v>
      </c>
      <c r="C2121" t="s">
        <v>1069</v>
      </c>
      <c r="D2121">
        <v>715890</v>
      </c>
      <c r="E2121" t="s">
        <v>10</v>
      </c>
      <c r="F2121">
        <v>48.556899999999999</v>
      </c>
      <c r="G2121">
        <v>-53.974499999999999</v>
      </c>
      <c r="H2121">
        <v>-3.5</v>
      </c>
      <c r="I2121">
        <v>107</v>
      </c>
      <c r="J2121" t="str">
        <f>HYPERLINK("https://climate.onebuilding.org/WMO_Region_4_North_and_Central_America/CAN_Canada/NL_Newfoundland_and_Labrador/CAN_NL_Terra.Nova.Natl.Park.715890_TMYx.2009-2023.zip")</f>
        <v>https://climate.onebuilding.org/WMO_Region_4_North_and_Central_America/CAN_Canada/NL_Newfoundland_and_Labrador/CAN_NL_Terra.Nova.Natl.Park.715890_TMYx.2009-2023.zip</v>
      </c>
    </row>
    <row r="2122" spans="1:10" x14ac:dyDescent="0.25">
      <c r="A2122" t="s">
        <v>6</v>
      </c>
      <c r="B2122" t="s">
        <v>11</v>
      </c>
      <c r="C2122" t="s">
        <v>1069</v>
      </c>
      <c r="D2122">
        <v>715890</v>
      </c>
      <c r="E2122" t="s">
        <v>10</v>
      </c>
      <c r="F2122">
        <v>48.556899999999999</v>
      </c>
      <c r="G2122">
        <v>-53.974499999999999</v>
      </c>
      <c r="H2122">
        <v>-3.5</v>
      </c>
      <c r="I2122">
        <v>107</v>
      </c>
      <c r="J2122" t="str">
        <f>HYPERLINK("https://climate.onebuilding.org/WMO_Region_4_North_and_Central_America/CAN_Canada/NL_Newfoundland_and_Labrador/CAN_NL_Terra.Nova.Natl.Park.715890_TMYx.zip")</f>
        <v>https://climate.onebuilding.org/WMO_Region_4_North_and_Central_America/CAN_Canada/NL_Newfoundland_and_Labrador/CAN_NL_Terra.Nova.Natl.Park.715890_TMYx.zip</v>
      </c>
    </row>
    <row r="2123" spans="1:10" x14ac:dyDescent="0.25">
      <c r="A2123" t="s">
        <v>6</v>
      </c>
      <c r="B2123" t="s">
        <v>45</v>
      </c>
      <c r="C2123" t="s">
        <v>1071</v>
      </c>
      <c r="D2123">
        <v>715900</v>
      </c>
      <c r="E2123" t="s">
        <v>1072</v>
      </c>
      <c r="F2123">
        <v>47.416699999999999</v>
      </c>
      <c r="G2123">
        <v>-68.324399999999997</v>
      </c>
      <c r="H2123">
        <v>-5</v>
      </c>
      <c r="I2123">
        <v>156.80000000000001</v>
      </c>
      <c r="J2123" t="str">
        <f>HYPERLINK("https://climate.onebuilding.org/WMO_Region_4_North_and_Central_America/CAN_Canada/NB_New_Brunswick/CAN_NB_Edmunston.715900_TMYx.2004-2018.zip")</f>
        <v>https://climate.onebuilding.org/WMO_Region_4_North_and_Central_America/CAN_Canada/NB_New_Brunswick/CAN_NB_Edmunston.715900_TMYx.2004-2018.zip</v>
      </c>
    </row>
    <row r="2124" spans="1:10" x14ac:dyDescent="0.25">
      <c r="A2124" t="s">
        <v>6</v>
      </c>
      <c r="B2124" t="s">
        <v>45</v>
      </c>
      <c r="C2124" t="s">
        <v>1071</v>
      </c>
      <c r="D2124">
        <v>715900</v>
      </c>
      <c r="E2124" t="s">
        <v>10</v>
      </c>
      <c r="F2124">
        <v>47.416699999999999</v>
      </c>
      <c r="G2124">
        <v>-68.324399999999997</v>
      </c>
      <c r="H2124">
        <v>-4</v>
      </c>
      <c r="I2124">
        <v>156.80000000000001</v>
      </c>
      <c r="J2124" t="str">
        <f>HYPERLINK("https://climate.onebuilding.org/WMO_Region_4_North_and_Central_America/CAN_Canada/NB_New_Brunswick/CAN_NB_Edmunston.715900_TMYx.2007-2021.zip")</f>
        <v>https://climate.onebuilding.org/WMO_Region_4_North_and_Central_America/CAN_Canada/NB_New_Brunswick/CAN_NB_Edmunston.715900_TMYx.2007-2021.zip</v>
      </c>
    </row>
    <row r="2125" spans="1:10" x14ac:dyDescent="0.25">
      <c r="A2125" t="s">
        <v>6</v>
      </c>
      <c r="B2125" t="s">
        <v>45</v>
      </c>
      <c r="C2125" t="s">
        <v>1071</v>
      </c>
      <c r="D2125">
        <v>715900</v>
      </c>
      <c r="E2125" t="s">
        <v>10</v>
      </c>
      <c r="F2125">
        <v>47.416699999999999</v>
      </c>
      <c r="G2125">
        <v>-68.324399999999997</v>
      </c>
      <c r="H2125">
        <v>-4</v>
      </c>
      <c r="I2125">
        <v>156.80000000000001</v>
      </c>
      <c r="J2125" t="str">
        <f>HYPERLINK("https://climate.onebuilding.org/WMO_Region_4_North_and_Central_America/CAN_Canada/NB_New_Brunswick/CAN_NB_Edmunston.715900_TMYx.2009-2023.zip")</f>
        <v>https://climate.onebuilding.org/WMO_Region_4_North_and_Central_America/CAN_Canada/NB_New_Brunswick/CAN_NB_Edmunston.715900_TMYx.2009-2023.zip</v>
      </c>
    </row>
    <row r="2126" spans="1:10" x14ac:dyDescent="0.25">
      <c r="A2126" t="s">
        <v>6</v>
      </c>
      <c r="B2126" t="s">
        <v>45</v>
      </c>
      <c r="C2126" t="s">
        <v>1071</v>
      </c>
      <c r="D2126">
        <v>715900</v>
      </c>
      <c r="E2126" t="s">
        <v>10</v>
      </c>
      <c r="F2126">
        <v>47.416699999999999</v>
      </c>
      <c r="G2126">
        <v>-68.324399999999997</v>
      </c>
      <c r="H2126">
        <v>-4</v>
      </c>
      <c r="I2126">
        <v>156.80000000000001</v>
      </c>
      <c r="J2126" t="str">
        <f>HYPERLINK("https://climate.onebuilding.org/WMO_Region_4_North_and_Central_America/CAN_Canada/NB_New_Brunswick/CAN_NB_Edmunston.715900_TMYx.zip")</f>
        <v>https://climate.onebuilding.org/WMO_Region_4_North_and_Central_America/CAN_Canada/NB_New_Brunswick/CAN_NB_Edmunston.715900_TMYx.zip</v>
      </c>
    </row>
    <row r="2127" spans="1:10" x14ac:dyDescent="0.25">
      <c r="A2127" t="s">
        <v>6</v>
      </c>
      <c r="B2127" t="s">
        <v>68</v>
      </c>
      <c r="C2127" t="s">
        <v>1073</v>
      </c>
      <c r="D2127">
        <v>715901</v>
      </c>
      <c r="E2127" t="s">
        <v>1074</v>
      </c>
      <c r="F2127">
        <v>44.98</v>
      </c>
      <c r="G2127">
        <v>-62.48</v>
      </c>
      <c r="H2127">
        <v>-4</v>
      </c>
      <c r="I2127">
        <v>40</v>
      </c>
      <c r="J2127" t="str">
        <f>HYPERLINK("https://climate.onebuilding.org/WMO_Region_4_North_and_Central_America/CAN_Canada/NS_Nova_Scotia/CAN_NS_Malay.Falls.715901_TMYx.2004-2018.zip")</f>
        <v>https://climate.onebuilding.org/WMO_Region_4_North_and_Central_America/CAN_Canada/NS_Nova_Scotia/CAN_NS_Malay.Falls.715901_TMYx.2004-2018.zip</v>
      </c>
    </row>
    <row r="2128" spans="1:10" x14ac:dyDescent="0.25">
      <c r="A2128" t="s">
        <v>6</v>
      </c>
      <c r="B2128" t="s">
        <v>68</v>
      </c>
      <c r="C2128" t="s">
        <v>1073</v>
      </c>
      <c r="D2128">
        <v>715901</v>
      </c>
      <c r="E2128" t="s">
        <v>10</v>
      </c>
      <c r="F2128">
        <v>44.98</v>
      </c>
      <c r="G2128">
        <v>-62.48</v>
      </c>
      <c r="H2128">
        <v>-4</v>
      </c>
      <c r="I2128">
        <v>40</v>
      </c>
      <c r="J2128" t="str">
        <f>HYPERLINK("https://climate.onebuilding.org/WMO_Region_4_North_and_Central_America/CAN_Canada/NS_Nova_Scotia/CAN_NS_Malay.Falls.715901_TMYx.2007-2021.zip")</f>
        <v>https://climate.onebuilding.org/WMO_Region_4_North_and_Central_America/CAN_Canada/NS_Nova_Scotia/CAN_NS_Malay.Falls.715901_TMYx.2007-2021.zip</v>
      </c>
    </row>
    <row r="2129" spans="1:10" x14ac:dyDescent="0.25">
      <c r="A2129" t="s">
        <v>6</v>
      </c>
      <c r="B2129" t="s">
        <v>68</v>
      </c>
      <c r="C2129" t="s">
        <v>1073</v>
      </c>
      <c r="D2129">
        <v>715901</v>
      </c>
      <c r="E2129" t="s">
        <v>10</v>
      </c>
      <c r="F2129">
        <v>44.98</v>
      </c>
      <c r="G2129">
        <v>-62.48</v>
      </c>
      <c r="H2129">
        <v>-4</v>
      </c>
      <c r="I2129">
        <v>40</v>
      </c>
      <c r="J2129" t="str">
        <f>HYPERLINK("https://climate.onebuilding.org/WMO_Region_4_North_and_Central_America/CAN_Canada/NS_Nova_Scotia/CAN_NS_Malay.Falls.715901_TMYx.2009-2023.zip")</f>
        <v>https://climate.onebuilding.org/WMO_Region_4_North_and_Central_America/CAN_Canada/NS_Nova_Scotia/CAN_NS_Malay.Falls.715901_TMYx.2009-2023.zip</v>
      </c>
    </row>
    <row r="2130" spans="1:10" x14ac:dyDescent="0.25">
      <c r="A2130" t="s">
        <v>6</v>
      </c>
      <c r="B2130" t="s">
        <v>68</v>
      </c>
      <c r="C2130" t="s">
        <v>1073</v>
      </c>
      <c r="D2130">
        <v>715901</v>
      </c>
      <c r="E2130" t="s">
        <v>10</v>
      </c>
      <c r="F2130">
        <v>44.98</v>
      </c>
      <c r="G2130">
        <v>-62.48</v>
      </c>
      <c r="H2130">
        <v>-4</v>
      </c>
      <c r="I2130">
        <v>40</v>
      </c>
      <c r="J2130" t="str">
        <f>HYPERLINK("https://climate.onebuilding.org/WMO_Region_4_North_and_Central_America/CAN_Canada/NS_Nova_Scotia/CAN_NS_Malay.Falls.715901_TMYx.zip")</f>
        <v>https://climate.onebuilding.org/WMO_Region_4_North_and_Central_America/CAN_Canada/NS_Nova_Scotia/CAN_NS_Malay.Falls.715901_TMYx.zip</v>
      </c>
    </row>
    <row r="2131" spans="1:10" x14ac:dyDescent="0.25">
      <c r="A2131" t="s">
        <v>6</v>
      </c>
      <c r="B2131" t="s">
        <v>68</v>
      </c>
      <c r="C2131" t="s">
        <v>1075</v>
      </c>
      <c r="D2131">
        <v>715910</v>
      </c>
      <c r="E2131" t="s">
        <v>1076</v>
      </c>
      <c r="F2131">
        <v>44.602200000000003</v>
      </c>
      <c r="G2131">
        <v>-63.5336</v>
      </c>
      <c r="H2131">
        <v>-4</v>
      </c>
      <c r="I2131">
        <v>15</v>
      </c>
      <c r="J2131" t="str">
        <f>HYPERLINK("https://climate.onebuilding.org/WMO_Region_4_North_and_Central_America/CAN_Canada/NS_Nova_Scotia/CAN_NS_McNabs.Island.715910_TMYx.2004-2018.zip")</f>
        <v>https://climate.onebuilding.org/WMO_Region_4_North_and_Central_America/CAN_Canada/NS_Nova_Scotia/CAN_NS_McNabs.Island.715910_TMYx.2004-2018.zip</v>
      </c>
    </row>
    <row r="2132" spans="1:10" x14ac:dyDescent="0.25">
      <c r="A2132" t="s">
        <v>6</v>
      </c>
      <c r="B2132" t="s">
        <v>68</v>
      </c>
      <c r="C2132" t="s">
        <v>1075</v>
      </c>
      <c r="D2132">
        <v>715910</v>
      </c>
      <c r="E2132" t="s">
        <v>10</v>
      </c>
      <c r="F2132">
        <v>44.602150000000002</v>
      </c>
      <c r="G2132">
        <v>-63.533580000000001</v>
      </c>
      <c r="H2132">
        <v>-4</v>
      </c>
      <c r="I2132">
        <v>15</v>
      </c>
      <c r="J2132" t="str">
        <f>HYPERLINK("https://climate.onebuilding.org/WMO_Region_4_North_and_Central_America/CAN_Canada/NS_Nova_Scotia/CAN_NS_McNabs.Island.715910_TMYx.2007-2021.zip")</f>
        <v>https://climate.onebuilding.org/WMO_Region_4_North_and_Central_America/CAN_Canada/NS_Nova_Scotia/CAN_NS_McNabs.Island.715910_TMYx.2007-2021.zip</v>
      </c>
    </row>
    <row r="2133" spans="1:10" x14ac:dyDescent="0.25">
      <c r="A2133" t="s">
        <v>6</v>
      </c>
      <c r="B2133" t="s">
        <v>68</v>
      </c>
      <c r="C2133" t="s">
        <v>1075</v>
      </c>
      <c r="D2133">
        <v>715910</v>
      </c>
      <c r="E2133" t="s">
        <v>10</v>
      </c>
      <c r="F2133">
        <v>44.602150000000002</v>
      </c>
      <c r="G2133">
        <v>-63.533580000000001</v>
      </c>
      <c r="H2133">
        <v>-4</v>
      </c>
      <c r="I2133">
        <v>15</v>
      </c>
      <c r="J2133" t="str">
        <f>HYPERLINK("https://climate.onebuilding.org/WMO_Region_4_North_and_Central_America/CAN_Canada/NS_Nova_Scotia/CAN_NS_McNabs.Island.715910_TMYx.2009-2023.zip")</f>
        <v>https://climate.onebuilding.org/WMO_Region_4_North_and_Central_America/CAN_Canada/NS_Nova_Scotia/CAN_NS_McNabs.Island.715910_TMYx.2009-2023.zip</v>
      </c>
    </row>
    <row r="2134" spans="1:10" x14ac:dyDescent="0.25">
      <c r="A2134" t="s">
        <v>6</v>
      </c>
      <c r="B2134" t="s">
        <v>68</v>
      </c>
      <c r="C2134" t="s">
        <v>1075</v>
      </c>
      <c r="D2134">
        <v>715910</v>
      </c>
      <c r="E2134" t="s">
        <v>10</v>
      </c>
      <c r="F2134">
        <v>44.602150000000002</v>
      </c>
      <c r="G2134">
        <v>-63.533580000000001</v>
      </c>
      <c r="H2134">
        <v>-4</v>
      </c>
      <c r="I2134">
        <v>15</v>
      </c>
      <c r="J2134" t="str">
        <f>HYPERLINK("https://climate.onebuilding.org/WMO_Region_4_North_and_Central_America/CAN_Canada/NS_Nova_Scotia/CAN_NS_McNabs.Island.715910_TMYx.zip")</f>
        <v>https://climate.onebuilding.org/WMO_Region_4_North_and_Central_America/CAN_Canada/NS_Nova_Scotia/CAN_NS_McNabs.Island.715910_TMYx.zip</v>
      </c>
    </row>
    <row r="2135" spans="1:10" x14ac:dyDescent="0.25">
      <c r="A2135" t="s">
        <v>6</v>
      </c>
      <c r="B2135" t="s">
        <v>42</v>
      </c>
      <c r="C2135" t="s">
        <v>1077</v>
      </c>
      <c r="D2135">
        <v>715920</v>
      </c>
      <c r="E2135" t="s">
        <v>1078</v>
      </c>
      <c r="F2135">
        <v>72.992800000000003</v>
      </c>
      <c r="G2135">
        <v>-85.012200000000007</v>
      </c>
      <c r="H2135">
        <v>-6</v>
      </c>
      <c r="I2135">
        <v>10</v>
      </c>
      <c r="J2135" t="str">
        <f>HYPERLINK("https://climate.onebuilding.org/WMO_Region_4_North_and_Central_America/CAN_Canada/NU_Nunavut/CAN_NU_Arctic.Bay.CS.715920_TMYx.2004-2018.zip")</f>
        <v>https://climate.onebuilding.org/WMO_Region_4_North_and_Central_America/CAN_Canada/NU_Nunavut/CAN_NU_Arctic.Bay.CS.715920_TMYx.2004-2018.zip</v>
      </c>
    </row>
    <row r="2136" spans="1:10" x14ac:dyDescent="0.25">
      <c r="A2136" t="s">
        <v>6</v>
      </c>
      <c r="B2136" t="s">
        <v>42</v>
      </c>
      <c r="C2136" t="s">
        <v>1077</v>
      </c>
      <c r="D2136">
        <v>715920</v>
      </c>
      <c r="E2136" t="s">
        <v>10</v>
      </c>
      <c r="F2136">
        <v>72.992800000000003</v>
      </c>
      <c r="G2136">
        <v>-85.012200000000007</v>
      </c>
      <c r="H2136">
        <v>-6</v>
      </c>
      <c r="I2136">
        <v>10</v>
      </c>
      <c r="J2136" t="str">
        <f>HYPERLINK("https://climate.onebuilding.org/WMO_Region_4_North_and_Central_America/CAN_Canada/NU_Nunavut/CAN_NU_Arctic.Bay.CS.715920_TMYx.2007-2021.zip")</f>
        <v>https://climate.onebuilding.org/WMO_Region_4_North_and_Central_America/CAN_Canada/NU_Nunavut/CAN_NU_Arctic.Bay.CS.715920_TMYx.2007-2021.zip</v>
      </c>
    </row>
    <row r="2137" spans="1:10" x14ac:dyDescent="0.25">
      <c r="A2137" t="s">
        <v>6</v>
      </c>
      <c r="B2137" t="s">
        <v>42</v>
      </c>
      <c r="C2137" t="s">
        <v>1077</v>
      </c>
      <c r="D2137">
        <v>715920</v>
      </c>
      <c r="E2137" t="s">
        <v>10</v>
      </c>
      <c r="F2137">
        <v>72.992800000000003</v>
      </c>
      <c r="G2137">
        <v>-85.012200000000007</v>
      </c>
      <c r="H2137">
        <v>-6</v>
      </c>
      <c r="I2137">
        <v>10</v>
      </c>
      <c r="J2137" t="str">
        <f>HYPERLINK("https://climate.onebuilding.org/WMO_Region_4_North_and_Central_America/CAN_Canada/NU_Nunavut/CAN_NU_Arctic.Bay.CS.715920_TMYx.2009-2023.zip")</f>
        <v>https://climate.onebuilding.org/WMO_Region_4_North_and_Central_America/CAN_Canada/NU_Nunavut/CAN_NU_Arctic.Bay.CS.715920_TMYx.2009-2023.zip</v>
      </c>
    </row>
    <row r="2138" spans="1:10" x14ac:dyDescent="0.25">
      <c r="A2138" t="s">
        <v>6</v>
      </c>
      <c r="B2138" t="s">
        <v>42</v>
      </c>
      <c r="C2138" t="s">
        <v>1077</v>
      </c>
      <c r="D2138">
        <v>715920</v>
      </c>
      <c r="E2138" t="s">
        <v>10</v>
      </c>
      <c r="F2138">
        <v>72.992800000000003</v>
      </c>
      <c r="G2138">
        <v>-85.012200000000007</v>
      </c>
      <c r="H2138">
        <v>-6</v>
      </c>
      <c r="I2138">
        <v>10</v>
      </c>
      <c r="J2138" t="str">
        <f>HYPERLINK("https://climate.onebuilding.org/WMO_Region_4_North_and_Central_America/CAN_Canada/NU_Nunavut/CAN_NU_Arctic.Bay.CS.715920_TMYx.zip")</f>
        <v>https://climate.onebuilding.org/WMO_Region_4_North_and_Central_America/CAN_Canada/NU_Nunavut/CAN_NU_Arctic.Bay.CS.715920_TMYx.zip</v>
      </c>
    </row>
    <row r="2139" spans="1:10" x14ac:dyDescent="0.25">
      <c r="A2139" t="s">
        <v>6</v>
      </c>
      <c r="B2139" t="s">
        <v>42</v>
      </c>
      <c r="C2139" t="s">
        <v>1079</v>
      </c>
      <c r="D2139">
        <v>715970</v>
      </c>
      <c r="E2139" t="s">
        <v>1080</v>
      </c>
      <c r="F2139">
        <v>68.635599999999997</v>
      </c>
      <c r="G2139">
        <v>-95.850300000000004</v>
      </c>
      <c r="H2139">
        <v>-7</v>
      </c>
      <c r="I2139">
        <v>46.9</v>
      </c>
      <c r="J2139" t="str">
        <f>HYPERLINK("https://climate.onebuilding.org/WMO_Region_4_North_and_Central_America/CAN_Canada/NU_Nunavut/CAN_NU_Gjoa.Haven.AP.715970_TMYx.2004-2018.zip")</f>
        <v>https://climate.onebuilding.org/WMO_Region_4_North_and_Central_America/CAN_Canada/NU_Nunavut/CAN_NU_Gjoa.Haven.AP.715970_TMYx.2004-2018.zip</v>
      </c>
    </row>
    <row r="2140" spans="1:10" x14ac:dyDescent="0.25">
      <c r="A2140" t="s">
        <v>6</v>
      </c>
      <c r="B2140" t="s">
        <v>42</v>
      </c>
      <c r="C2140" t="s">
        <v>1079</v>
      </c>
      <c r="D2140">
        <v>715970</v>
      </c>
      <c r="E2140" t="s">
        <v>10</v>
      </c>
      <c r="F2140">
        <v>68.635999999999996</v>
      </c>
      <c r="G2140">
        <v>-95.85</v>
      </c>
      <c r="H2140">
        <v>-7</v>
      </c>
      <c r="I2140">
        <v>46.9</v>
      </c>
      <c r="J2140" t="str">
        <f>HYPERLINK("https://climate.onebuilding.org/WMO_Region_4_North_and_Central_America/CAN_Canada/NU_Nunavut/CAN_NU_Gjoa.Haven.AP.715970_TMYx.2007-2021.zip")</f>
        <v>https://climate.onebuilding.org/WMO_Region_4_North_and_Central_America/CAN_Canada/NU_Nunavut/CAN_NU_Gjoa.Haven.AP.715970_TMYx.2007-2021.zip</v>
      </c>
    </row>
    <row r="2141" spans="1:10" x14ac:dyDescent="0.25">
      <c r="A2141" t="s">
        <v>6</v>
      </c>
      <c r="B2141" t="s">
        <v>42</v>
      </c>
      <c r="C2141" t="s">
        <v>1079</v>
      </c>
      <c r="D2141">
        <v>715970</v>
      </c>
      <c r="E2141" t="s">
        <v>10</v>
      </c>
      <c r="F2141">
        <v>68.635999999999996</v>
      </c>
      <c r="G2141">
        <v>-95.85</v>
      </c>
      <c r="H2141">
        <v>-7</v>
      </c>
      <c r="I2141">
        <v>46.9</v>
      </c>
      <c r="J2141" t="str">
        <f>HYPERLINK("https://climate.onebuilding.org/WMO_Region_4_North_and_Central_America/CAN_Canada/NU_Nunavut/CAN_NU_Gjoa.Haven.AP.715970_TMYx.2009-2023.zip")</f>
        <v>https://climate.onebuilding.org/WMO_Region_4_North_and_Central_America/CAN_Canada/NU_Nunavut/CAN_NU_Gjoa.Haven.AP.715970_TMYx.2009-2023.zip</v>
      </c>
    </row>
    <row r="2142" spans="1:10" x14ac:dyDescent="0.25">
      <c r="A2142" t="s">
        <v>6</v>
      </c>
      <c r="B2142" t="s">
        <v>42</v>
      </c>
      <c r="C2142" t="s">
        <v>1079</v>
      </c>
      <c r="D2142">
        <v>715970</v>
      </c>
      <c r="E2142" t="s">
        <v>10</v>
      </c>
      <c r="F2142">
        <v>68.635999999999996</v>
      </c>
      <c r="G2142">
        <v>-95.85</v>
      </c>
      <c r="H2142">
        <v>-7</v>
      </c>
      <c r="I2142">
        <v>46.9</v>
      </c>
      <c r="J2142" t="str">
        <f>HYPERLINK("https://climate.onebuilding.org/WMO_Region_4_North_and_Central_America/CAN_Canada/NU_Nunavut/CAN_NU_Gjoa.Haven.AP.715970_TMYx.zip")</f>
        <v>https://climate.onebuilding.org/WMO_Region_4_North_and_Central_America/CAN_Canada/NU_Nunavut/CAN_NU_Gjoa.Haven.AP.715970_TMYx.zip</v>
      </c>
    </row>
    <row r="2143" spans="1:10" x14ac:dyDescent="0.25">
      <c r="A2143" t="s">
        <v>6</v>
      </c>
      <c r="B2143" t="s">
        <v>68</v>
      </c>
      <c r="C2143" t="s">
        <v>1081</v>
      </c>
      <c r="D2143">
        <v>715971</v>
      </c>
      <c r="E2143" t="s">
        <v>1082</v>
      </c>
      <c r="F2143">
        <v>46.55</v>
      </c>
      <c r="G2143">
        <v>-61.05</v>
      </c>
      <c r="H2143">
        <v>-4</v>
      </c>
      <c r="I2143">
        <v>13</v>
      </c>
      <c r="J2143" t="str">
        <f>HYPERLINK("https://climate.onebuilding.org/WMO_Region_4_North_and_Central_America/CAN_Canada/NS_Nova_Scotia/CAN_NS_Grand.Etang.715971_TMYx.2004-2018.zip")</f>
        <v>https://climate.onebuilding.org/WMO_Region_4_North_and_Central_America/CAN_Canada/NS_Nova_Scotia/CAN_NS_Grand.Etang.715971_TMYx.2004-2018.zip</v>
      </c>
    </row>
    <row r="2144" spans="1:10" x14ac:dyDescent="0.25">
      <c r="A2144" t="s">
        <v>6</v>
      </c>
      <c r="B2144" t="s">
        <v>68</v>
      </c>
      <c r="C2144" t="s">
        <v>1081</v>
      </c>
      <c r="D2144">
        <v>715971</v>
      </c>
      <c r="E2144" t="s">
        <v>10</v>
      </c>
      <c r="F2144">
        <v>46.55</v>
      </c>
      <c r="G2144">
        <v>-61.045000000000002</v>
      </c>
      <c r="H2144">
        <v>-4</v>
      </c>
      <c r="I2144">
        <v>13</v>
      </c>
      <c r="J2144" t="str">
        <f>HYPERLINK("https://climate.onebuilding.org/WMO_Region_4_North_and_Central_America/CAN_Canada/NS_Nova_Scotia/CAN_NS_Grand.Etang.715971_TMYx.2007-2021.zip")</f>
        <v>https://climate.onebuilding.org/WMO_Region_4_North_and_Central_America/CAN_Canada/NS_Nova_Scotia/CAN_NS_Grand.Etang.715971_TMYx.2007-2021.zip</v>
      </c>
    </row>
    <row r="2145" spans="1:10" x14ac:dyDescent="0.25">
      <c r="A2145" t="s">
        <v>6</v>
      </c>
      <c r="B2145" t="s">
        <v>68</v>
      </c>
      <c r="C2145" t="s">
        <v>1081</v>
      </c>
      <c r="D2145">
        <v>715971</v>
      </c>
      <c r="E2145" t="s">
        <v>10</v>
      </c>
      <c r="F2145">
        <v>46.55</v>
      </c>
      <c r="G2145">
        <v>-61.045000000000002</v>
      </c>
      <c r="H2145">
        <v>-4</v>
      </c>
      <c r="I2145">
        <v>13</v>
      </c>
      <c r="J2145" t="str">
        <f>HYPERLINK("https://climate.onebuilding.org/WMO_Region_4_North_and_Central_America/CAN_Canada/NS_Nova_Scotia/CAN_NS_Grand.Etang.715971_TMYx.2009-2023.zip")</f>
        <v>https://climate.onebuilding.org/WMO_Region_4_North_and_Central_America/CAN_Canada/NS_Nova_Scotia/CAN_NS_Grand.Etang.715971_TMYx.2009-2023.zip</v>
      </c>
    </row>
    <row r="2146" spans="1:10" x14ac:dyDescent="0.25">
      <c r="A2146" t="s">
        <v>6</v>
      </c>
      <c r="B2146" t="s">
        <v>68</v>
      </c>
      <c r="C2146" t="s">
        <v>1081</v>
      </c>
      <c r="D2146">
        <v>715971</v>
      </c>
      <c r="E2146" t="s">
        <v>10</v>
      </c>
      <c r="F2146">
        <v>46.55</v>
      </c>
      <c r="G2146">
        <v>-61.045000000000002</v>
      </c>
      <c r="H2146">
        <v>-4</v>
      </c>
      <c r="I2146">
        <v>13</v>
      </c>
      <c r="J2146" t="str">
        <f>HYPERLINK("https://climate.onebuilding.org/WMO_Region_4_North_and_Central_America/CAN_Canada/NS_Nova_Scotia/CAN_NS_Grand.Etang.715971_TMYx.zip")</f>
        <v>https://climate.onebuilding.org/WMO_Region_4_North_and_Central_America/CAN_Canada/NS_Nova_Scotia/CAN_NS_Grand.Etang.715971_TMYx.zip</v>
      </c>
    </row>
    <row r="2147" spans="1:10" x14ac:dyDescent="0.25">
      <c r="A2147" t="s">
        <v>6</v>
      </c>
      <c r="B2147" t="s">
        <v>45</v>
      </c>
      <c r="C2147" t="s">
        <v>1083</v>
      </c>
      <c r="D2147">
        <v>715980</v>
      </c>
      <c r="E2147" t="s">
        <v>1084</v>
      </c>
      <c r="F2147">
        <v>47.802199999999999</v>
      </c>
      <c r="G2147">
        <v>-64.833299999999994</v>
      </c>
      <c r="H2147">
        <v>-4</v>
      </c>
      <c r="I2147">
        <v>5</v>
      </c>
      <c r="J2147" t="str">
        <f>HYPERLINK("https://climate.onebuilding.org/WMO_Region_4_North_and_Central_America/CAN_Canada/NB_New_Brunswick/CAN_NB_Bas.Caraquet.715980_TMYx.2004-2018.zip")</f>
        <v>https://climate.onebuilding.org/WMO_Region_4_North_and_Central_America/CAN_Canada/NB_New_Brunswick/CAN_NB_Bas.Caraquet.715980_TMYx.2004-2018.zip</v>
      </c>
    </row>
    <row r="2148" spans="1:10" x14ac:dyDescent="0.25">
      <c r="A2148" t="s">
        <v>6</v>
      </c>
      <c r="B2148" t="s">
        <v>45</v>
      </c>
      <c r="C2148" t="s">
        <v>1083</v>
      </c>
      <c r="D2148">
        <v>715980</v>
      </c>
      <c r="E2148" t="s">
        <v>10</v>
      </c>
      <c r="F2148">
        <v>47.802199999999999</v>
      </c>
      <c r="G2148">
        <v>-64.833299999999994</v>
      </c>
      <c r="H2148">
        <v>-4</v>
      </c>
      <c r="I2148">
        <v>5</v>
      </c>
      <c r="J2148" t="str">
        <f>HYPERLINK("https://climate.onebuilding.org/WMO_Region_4_North_and_Central_America/CAN_Canada/NB_New_Brunswick/CAN_NB_Bas.Caraquet.715980_TMYx.2007-2021.zip")</f>
        <v>https://climate.onebuilding.org/WMO_Region_4_North_and_Central_America/CAN_Canada/NB_New_Brunswick/CAN_NB_Bas.Caraquet.715980_TMYx.2007-2021.zip</v>
      </c>
    </row>
    <row r="2149" spans="1:10" x14ac:dyDescent="0.25">
      <c r="A2149" t="s">
        <v>6</v>
      </c>
      <c r="B2149" t="s">
        <v>45</v>
      </c>
      <c r="C2149" t="s">
        <v>1083</v>
      </c>
      <c r="D2149">
        <v>715980</v>
      </c>
      <c r="E2149" t="s">
        <v>10</v>
      </c>
      <c r="F2149">
        <v>47.802199999999999</v>
      </c>
      <c r="G2149">
        <v>-64.833299999999994</v>
      </c>
      <c r="H2149">
        <v>-4</v>
      </c>
      <c r="I2149">
        <v>5</v>
      </c>
      <c r="J2149" t="str">
        <f>HYPERLINK("https://climate.onebuilding.org/WMO_Region_4_North_and_Central_America/CAN_Canada/NB_New_Brunswick/CAN_NB_Bas.Caraquet.715980_TMYx.2009-2023.zip")</f>
        <v>https://climate.onebuilding.org/WMO_Region_4_North_and_Central_America/CAN_Canada/NB_New_Brunswick/CAN_NB_Bas.Caraquet.715980_TMYx.2009-2023.zip</v>
      </c>
    </row>
    <row r="2150" spans="1:10" x14ac:dyDescent="0.25">
      <c r="A2150" t="s">
        <v>6</v>
      </c>
      <c r="B2150" t="s">
        <v>45</v>
      </c>
      <c r="C2150" t="s">
        <v>1083</v>
      </c>
      <c r="D2150">
        <v>715980</v>
      </c>
      <c r="E2150" t="s">
        <v>10</v>
      </c>
      <c r="F2150">
        <v>47.802199999999999</v>
      </c>
      <c r="G2150">
        <v>-64.833299999999994</v>
      </c>
      <c r="H2150">
        <v>-4</v>
      </c>
      <c r="I2150">
        <v>5</v>
      </c>
      <c r="J2150" t="str">
        <f>HYPERLINK("https://climate.onebuilding.org/WMO_Region_4_North_and_Central_America/CAN_Canada/NB_New_Brunswick/CAN_NB_Bas.Caraquet.715980_TMYx.zip")</f>
        <v>https://climate.onebuilding.org/WMO_Region_4_North_and_Central_America/CAN_Canada/NB_New_Brunswick/CAN_NB_Bas.Caraquet.715980_TMYx.zip</v>
      </c>
    </row>
    <row r="2151" spans="1:10" x14ac:dyDescent="0.25">
      <c r="A2151" t="s">
        <v>6</v>
      </c>
      <c r="B2151" t="s">
        <v>68</v>
      </c>
      <c r="C2151" t="s">
        <v>1085</v>
      </c>
      <c r="D2151">
        <v>715990</v>
      </c>
      <c r="E2151" t="s">
        <v>1086</v>
      </c>
      <c r="F2151">
        <v>44.417000000000002</v>
      </c>
      <c r="G2151">
        <v>-65.2</v>
      </c>
      <c r="H2151">
        <v>-4</v>
      </c>
      <c r="I2151">
        <v>165</v>
      </c>
      <c r="J2151" t="str">
        <f>HYPERLINK("https://climate.onebuilding.org/WMO_Region_4_North_and_Central_America/CAN_Canada/NS_Nova_Scotia/CAN_NS_Kejimkujik.Natl.Park.715990_TMYx.2004-2018.zip")</f>
        <v>https://climate.onebuilding.org/WMO_Region_4_North_and_Central_America/CAN_Canada/NS_Nova_Scotia/CAN_NS_Kejimkujik.Natl.Park.715990_TMYx.2004-2018.zip</v>
      </c>
    </row>
    <row r="2152" spans="1:10" x14ac:dyDescent="0.25">
      <c r="A2152" t="s">
        <v>6</v>
      </c>
      <c r="B2152" t="s">
        <v>68</v>
      </c>
      <c r="C2152" t="s">
        <v>1085</v>
      </c>
      <c r="D2152">
        <v>715990</v>
      </c>
      <c r="E2152" t="s">
        <v>10</v>
      </c>
      <c r="F2152">
        <v>44.402999999999999</v>
      </c>
      <c r="G2152">
        <v>-65.203000000000003</v>
      </c>
      <c r="H2152">
        <v>-4</v>
      </c>
      <c r="I2152">
        <v>165</v>
      </c>
      <c r="J2152" t="str">
        <f>HYPERLINK("https://climate.onebuilding.org/WMO_Region_4_North_and_Central_America/CAN_Canada/NS_Nova_Scotia/CAN_NS_Kejimkujik.Natl.Park.715990_TMYx.2007-2021.zip")</f>
        <v>https://climate.onebuilding.org/WMO_Region_4_North_and_Central_America/CAN_Canada/NS_Nova_Scotia/CAN_NS_Kejimkujik.Natl.Park.715990_TMYx.2007-2021.zip</v>
      </c>
    </row>
    <row r="2153" spans="1:10" x14ac:dyDescent="0.25">
      <c r="A2153" t="s">
        <v>6</v>
      </c>
      <c r="B2153" t="s">
        <v>68</v>
      </c>
      <c r="C2153" t="s">
        <v>1085</v>
      </c>
      <c r="D2153">
        <v>715990</v>
      </c>
      <c r="E2153" t="s">
        <v>10</v>
      </c>
      <c r="F2153">
        <v>44.402999999999999</v>
      </c>
      <c r="G2153">
        <v>-65.203000000000003</v>
      </c>
      <c r="H2153">
        <v>-4</v>
      </c>
      <c r="I2153">
        <v>165</v>
      </c>
      <c r="J2153" t="str">
        <f>HYPERLINK("https://climate.onebuilding.org/WMO_Region_4_North_and_Central_America/CAN_Canada/NS_Nova_Scotia/CAN_NS_Kejimkujik.Natl.Park.715990_TMYx.2009-2023.zip")</f>
        <v>https://climate.onebuilding.org/WMO_Region_4_North_and_Central_America/CAN_Canada/NS_Nova_Scotia/CAN_NS_Kejimkujik.Natl.Park.715990_TMYx.2009-2023.zip</v>
      </c>
    </row>
    <row r="2154" spans="1:10" x14ac:dyDescent="0.25">
      <c r="A2154" t="s">
        <v>6</v>
      </c>
      <c r="B2154" t="s">
        <v>68</v>
      </c>
      <c r="C2154" t="s">
        <v>1085</v>
      </c>
      <c r="D2154">
        <v>715990</v>
      </c>
      <c r="E2154" t="s">
        <v>10</v>
      </c>
      <c r="F2154">
        <v>44.402999999999999</v>
      </c>
      <c r="G2154">
        <v>-65.203000000000003</v>
      </c>
      <c r="H2154">
        <v>-4</v>
      </c>
      <c r="I2154">
        <v>165</v>
      </c>
      <c r="J2154" t="str">
        <f>HYPERLINK("https://climate.onebuilding.org/WMO_Region_4_North_and_Central_America/CAN_Canada/NS_Nova_Scotia/CAN_NS_Kejimkujik.Natl.Park.715990_TMYx.zip")</f>
        <v>https://climate.onebuilding.org/WMO_Region_4_North_and_Central_America/CAN_Canada/NS_Nova_Scotia/CAN_NS_Kejimkujik.Natl.Park.715990_TMYx.zip</v>
      </c>
    </row>
    <row r="2155" spans="1:10" x14ac:dyDescent="0.25">
      <c r="A2155" t="s">
        <v>6</v>
      </c>
      <c r="B2155" t="s">
        <v>68</v>
      </c>
      <c r="C2155" t="s">
        <v>1087</v>
      </c>
      <c r="D2155">
        <v>716000</v>
      </c>
      <c r="E2155" t="s">
        <v>1088</v>
      </c>
      <c r="F2155">
        <v>43.932200000000002</v>
      </c>
      <c r="G2155">
        <v>-60.009500000000003</v>
      </c>
      <c r="H2155">
        <v>-4</v>
      </c>
      <c r="I2155">
        <v>5</v>
      </c>
      <c r="J2155" t="str">
        <f>HYPERLINK("https://climate.onebuilding.org/WMO_Region_4_North_and_Central_America/CAN_Canada/NS_Nova_Scotia/CAN_NS_Sable.Island.Natl.Park.716000_TMYx.2004-2018.zip")</f>
        <v>https://climate.onebuilding.org/WMO_Region_4_North_and_Central_America/CAN_Canada/NS_Nova_Scotia/CAN_NS_Sable.Island.Natl.Park.716000_TMYx.2004-2018.zip</v>
      </c>
    </row>
    <row r="2156" spans="1:10" x14ac:dyDescent="0.25">
      <c r="A2156" t="s">
        <v>6</v>
      </c>
      <c r="B2156" t="s">
        <v>68</v>
      </c>
      <c r="C2156" t="s">
        <v>1087</v>
      </c>
      <c r="D2156">
        <v>716000</v>
      </c>
      <c r="E2156" t="s">
        <v>10</v>
      </c>
      <c r="F2156">
        <v>43.932200000000002</v>
      </c>
      <c r="G2156">
        <v>-60.009500000000003</v>
      </c>
      <c r="H2156">
        <v>-4</v>
      </c>
      <c r="I2156">
        <v>5</v>
      </c>
      <c r="J2156" t="str">
        <f>HYPERLINK("https://climate.onebuilding.org/WMO_Region_4_North_and_Central_America/CAN_Canada/NS_Nova_Scotia/CAN_NS_Sable.Island.Natl.Park.716000_TMYx.2007-2021.zip")</f>
        <v>https://climate.onebuilding.org/WMO_Region_4_North_and_Central_America/CAN_Canada/NS_Nova_Scotia/CAN_NS_Sable.Island.Natl.Park.716000_TMYx.2007-2021.zip</v>
      </c>
    </row>
    <row r="2157" spans="1:10" x14ac:dyDescent="0.25">
      <c r="A2157" t="s">
        <v>6</v>
      </c>
      <c r="B2157" t="s">
        <v>68</v>
      </c>
      <c r="C2157" t="s">
        <v>1087</v>
      </c>
      <c r="D2157">
        <v>716000</v>
      </c>
      <c r="E2157" t="s">
        <v>10</v>
      </c>
      <c r="F2157">
        <v>43.932200000000002</v>
      </c>
      <c r="G2157">
        <v>-60.009500000000003</v>
      </c>
      <c r="H2157">
        <v>-4</v>
      </c>
      <c r="I2157">
        <v>5</v>
      </c>
      <c r="J2157" t="str">
        <f>HYPERLINK("https://climate.onebuilding.org/WMO_Region_4_North_and_Central_America/CAN_Canada/NS_Nova_Scotia/CAN_NS_Sable.Island.Natl.Park.716000_TMYx.2009-2023.zip")</f>
        <v>https://climate.onebuilding.org/WMO_Region_4_North_and_Central_America/CAN_Canada/NS_Nova_Scotia/CAN_NS_Sable.Island.Natl.Park.716000_TMYx.2009-2023.zip</v>
      </c>
    </row>
    <row r="2158" spans="1:10" x14ac:dyDescent="0.25">
      <c r="A2158" t="s">
        <v>6</v>
      </c>
      <c r="B2158" t="s">
        <v>68</v>
      </c>
      <c r="C2158" t="s">
        <v>1087</v>
      </c>
      <c r="D2158">
        <v>716000</v>
      </c>
      <c r="E2158" t="s">
        <v>10</v>
      </c>
      <c r="F2158">
        <v>43.932200000000002</v>
      </c>
      <c r="G2158">
        <v>-60.009500000000003</v>
      </c>
      <c r="H2158">
        <v>-4</v>
      </c>
      <c r="I2158">
        <v>5</v>
      </c>
      <c r="J2158" t="str">
        <f>HYPERLINK("https://climate.onebuilding.org/WMO_Region_4_North_and_Central_America/CAN_Canada/NS_Nova_Scotia/CAN_NS_Sable.Island.Natl.Park.716000_TMYx.zip")</f>
        <v>https://climate.onebuilding.org/WMO_Region_4_North_and_Central_America/CAN_Canada/NS_Nova_Scotia/CAN_NS_Sable.Island.Natl.Park.716000_TMYx.zip</v>
      </c>
    </row>
    <row r="2159" spans="1:10" x14ac:dyDescent="0.25">
      <c r="A2159" t="s">
        <v>6</v>
      </c>
      <c r="B2159" t="s">
        <v>68</v>
      </c>
      <c r="C2159" t="s">
        <v>1089</v>
      </c>
      <c r="D2159">
        <v>716010</v>
      </c>
      <c r="E2159" t="s">
        <v>1090</v>
      </c>
      <c r="F2159">
        <v>44.633299999999998</v>
      </c>
      <c r="G2159">
        <v>-63.5</v>
      </c>
      <c r="H2159">
        <v>-4</v>
      </c>
      <c r="I2159">
        <v>44</v>
      </c>
      <c r="J2159" t="str">
        <f>HYPERLINK("https://climate.onebuilding.org/WMO_Region_4_North_and_Central_America/CAN_Canada/NS_Nova_Scotia/CAN_NS_CFB.Shearwater.716010_TMYx.2004-2018.zip")</f>
        <v>https://climate.onebuilding.org/WMO_Region_4_North_and_Central_America/CAN_Canada/NS_Nova_Scotia/CAN_NS_CFB.Shearwater.716010_TMYx.2004-2018.zip</v>
      </c>
    </row>
    <row r="2160" spans="1:10" x14ac:dyDescent="0.25">
      <c r="A2160" t="s">
        <v>6</v>
      </c>
      <c r="B2160" t="s">
        <v>68</v>
      </c>
      <c r="C2160" t="s">
        <v>1089</v>
      </c>
      <c r="D2160">
        <v>716010</v>
      </c>
      <c r="E2160" t="s">
        <v>10</v>
      </c>
      <c r="F2160">
        <v>44.6297</v>
      </c>
      <c r="G2160">
        <v>-63.513300000000001</v>
      </c>
      <c r="H2160">
        <v>-4</v>
      </c>
      <c r="I2160">
        <v>44</v>
      </c>
      <c r="J2160" t="str">
        <f>HYPERLINK("https://climate.onebuilding.org/WMO_Region_4_North_and_Central_America/CAN_Canada/NS_Nova_Scotia/CAN_NS_CFB.Shearwater.716010_TMYx.2007-2021.zip")</f>
        <v>https://climate.onebuilding.org/WMO_Region_4_North_and_Central_America/CAN_Canada/NS_Nova_Scotia/CAN_NS_CFB.Shearwater.716010_TMYx.2007-2021.zip</v>
      </c>
    </row>
    <row r="2161" spans="1:10" x14ac:dyDescent="0.25">
      <c r="A2161" t="s">
        <v>6</v>
      </c>
      <c r="B2161" t="s">
        <v>68</v>
      </c>
      <c r="C2161" t="s">
        <v>1089</v>
      </c>
      <c r="D2161">
        <v>716010</v>
      </c>
      <c r="E2161" t="s">
        <v>10</v>
      </c>
      <c r="F2161">
        <v>44.6297</v>
      </c>
      <c r="G2161">
        <v>-63.513300000000001</v>
      </c>
      <c r="H2161">
        <v>-4</v>
      </c>
      <c r="I2161">
        <v>44</v>
      </c>
      <c r="J2161" t="str">
        <f>HYPERLINK("https://climate.onebuilding.org/WMO_Region_4_North_and_Central_America/CAN_Canada/NS_Nova_Scotia/CAN_NS_CFB.Shearwater.716010_TMYx.2009-2023.zip")</f>
        <v>https://climate.onebuilding.org/WMO_Region_4_North_and_Central_America/CAN_Canada/NS_Nova_Scotia/CAN_NS_CFB.Shearwater.716010_TMYx.2009-2023.zip</v>
      </c>
    </row>
    <row r="2162" spans="1:10" x14ac:dyDescent="0.25">
      <c r="A2162" t="s">
        <v>6</v>
      </c>
      <c r="B2162" t="s">
        <v>68</v>
      </c>
      <c r="C2162" t="s">
        <v>1089</v>
      </c>
      <c r="D2162">
        <v>716010</v>
      </c>
      <c r="E2162" t="s">
        <v>10</v>
      </c>
      <c r="F2162">
        <v>44.6297</v>
      </c>
      <c r="G2162">
        <v>-63.513300000000001</v>
      </c>
      <c r="H2162">
        <v>-4</v>
      </c>
      <c r="I2162">
        <v>44</v>
      </c>
      <c r="J2162" t="str">
        <f>HYPERLINK("https://climate.onebuilding.org/WMO_Region_4_North_and_Central_America/CAN_Canada/NS_Nova_Scotia/CAN_NS_CFB.Shearwater.716010_TMYx.zip")</f>
        <v>https://climate.onebuilding.org/WMO_Region_4_North_and_Central_America/CAN_Canada/NS_Nova_Scotia/CAN_NS_CFB.Shearwater.716010_TMYx.zip</v>
      </c>
    </row>
    <row r="2163" spans="1:10" x14ac:dyDescent="0.25">
      <c r="A2163" t="s">
        <v>6</v>
      </c>
      <c r="B2163" t="s">
        <v>68</v>
      </c>
      <c r="C2163" t="s">
        <v>1091</v>
      </c>
      <c r="D2163">
        <v>716030</v>
      </c>
      <c r="E2163" t="s">
        <v>1092</v>
      </c>
      <c r="F2163">
        <v>43.830800000000004</v>
      </c>
      <c r="G2163">
        <v>-66.0886</v>
      </c>
      <c r="H2163">
        <v>-4</v>
      </c>
      <c r="I2163">
        <v>43</v>
      </c>
      <c r="J2163" t="str">
        <f>HYPERLINK("https://climate.onebuilding.org/WMO_Region_4_North_and_Central_America/CAN_Canada/NS_Nova_Scotia/CAN_NS_Yarmouth.Intl.AP.716030_TMYx.2004-2018.zip")</f>
        <v>https://climate.onebuilding.org/WMO_Region_4_North_and_Central_America/CAN_Canada/NS_Nova_Scotia/CAN_NS_Yarmouth.Intl.AP.716030_TMYx.2004-2018.zip</v>
      </c>
    </row>
    <row r="2164" spans="1:10" x14ac:dyDescent="0.25">
      <c r="A2164" t="s">
        <v>6</v>
      </c>
      <c r="B2164" t="s">
        <v>68</v>
      </c>
      <c r="C2164" t="s">
        <v>1091</v>
      </c>
      <c r="D2164">
        <v>716030</v>
      </c>
      <c r="E2164" t="s">
        <v>10</v>
      </c>
      <c r="F2164">
        <v>43.830829999999999</v>
      </c>
      <c r="G2164">
        <v>-66.0886</v>
      </c>
      <c r="H2164">
        <v>-4</v>
      </c>
      <c r="I2164">
        <v>43</v>
      </c>
      <c r="J2164" t="str">
        <f>HYPERLINK("https://climate.onebuilding.org/WMO_Region_4_North_and_Central_America/CAN_Canada/NS_Nova_Scotia/CAN_NS_Yarmouth.Intl.AP.716030_TMYx.2007-2021.zip")</f>
        <v>https://climate.onebuilding.org/WMO_Region_4_North_and_Central_America/CAN_Canada/NS_Nova_Scotia/CAN_NS_Yarmouth.Intl.AP.716030_TMYx.2007-2021.zip</v>
      </c>
    </row>
    <row r="2165" spans="1:10" x14ac:dyDescent="0.25">
      <c r="A2165" t="s">
        <v>6</v>
      </c>
      <c r="B2165" t="s">
        <v>68</v>
      </c>
      <c r="C2165" t="s">
        <v>1091</v>
      </c>
      <c r="D2165">
        <v>716030</v>
      </c>
      <c r="E2165" t="s">
        <v>10</v>
      </c>
      <c r="F2165">
        <v>43.830829999999999</v>
      </c>
      <c r="G2165">
        <v>-66.0886</v>
      </c>
      <c r="H2165">
        <v>-4</v>
      </c>
      <c r="I2165">
        <v>43</v>
      </c>
      <c r="J2165" t="str">
        <f>HYPERLINK("https://climate.onebuilding.org/WMO_Region_4_North_and_Central_America/CAN_Canada/NS_Nova_Scotia/CAN_NS_Yarmouth.Intl.AP.716030_TMYx.2009-2023.zip")</f>
        <v>https://climate.onebuilding.org/WMO_Region_4_North_and_Central_America/CAN_Canada/NS_Nova_Scotia/CAN_NS_Yarmouth.Intl.AP.716030_TMYx.2009-2023.zip</v>
      </c>
    </row>
    <row r="2166" spans="1:10" x14ac:dyDescent="0.25">
      <c r="A2166" t="s">
        <v>6</v>
      </c>
      <c r="B2166" t="s">
        <v>68</v>
      </c>
      <c r="C2166" t="s">
        <v>1091</v>
      </c>
      <c r="D2166">
        <v>716030</v>
      </c>
      <c r="E2166" t="s">
        <v>10</v>
      </c>
      <c r="F2166">
        <v>43.830829999999999</v>
      </c>
      <c r="G2166">
        <v>-66.0886</v>
      </c>
      <c r="H2166">
        <v>-4</v>
      </c>
      <c r="I2166">
        <v>43</v>
      </c>
      <c r="J2166" t="str">
        <f>HYPERLINK("https://climate.onebuilding.org/WMO_Region_4_North_and_Central_America/CAN_Canada/NS_Nova_Scotia/CAN_NS_Yarmouth.Intl.AP.716030_TMYx.zip")</f>
        <v>https://climate.onebuilding.org/WMO_Region_4_North_and_Central_America/CAN_Canada/NS_Nova_Scotia/CAN_NS_Yarmouth.Intl.AP.716030_TMYx.zip</v>
      </c>
    </row>
    <row r="2167" spans="1:10" x14ac:dyDescent="0.25">
      <c r="A2167" t="s">
        <v>6</v>
      </c>
      <c r="B2167" t="s">
        <v>68</v>
      </c>
      <c r="C2167" t="s">
        <v>1093</v>
      </c>
      <c r="D2167">
        <v>716040</v>
      </c>
      <c r="E2167" t="s">
        <v>1094</v>
      </c>
      <c r="F2167">
        <v>46.816899999999997</v>
      </c>
      <c r="G2167">
        <v>-60.672199999999997</v>
      </c>
      <c r="H2167">
        <v>-4</v>
      </c>
      <c r="I2167">
        <v>439.4</v>
      </c>
      <c r="J2167" t="str">
        <f>HYPERLINK("https://climate.onebuilding.org/WMO_Region_4_North_and_Central_America/CAN_Canada/NS_Nova_Scotia/CAN_NS_North.Mountain.716040_TMYx.2004-2018.zip")</f>
        <v>https://climate.onebuilding.org/WMO_Region_4_North_and_Central_America/CAN_Canada/NS_Nova_Scotia/CAN_NS_North.Mountain.716040_TMYx.2004-2018.zip</v>
      </c>
    </row>
    <row r="2168" spans="1:10" x14ac:dyDescent="0.25">
      <c r="A2168" t="s">
        <v>6</v>
      </c>
      <c r="B2168" t="s">
        <v>68</v>
      </c>
      <c r="C2168" t="s">
        <v>1093</v>
      </c>
      <c r="D2168">
        <v>716040</v>
      </c>
      <c r="E2168" t="s">
        <v>10</v>
      </c>
      <c r="F2168">
        <v>46.817779999999999</v>
      </c>
      <c r="G2168">
        <v>-60.671669999999999</v>
      </c>
      <c r="H2168">
        <v>-4</v>
      </c>
      <c r="I2168">
        <v>439.4</v>
      </c>
      <c r="J2168" t="str">
        <f>HYPERLINK("https://climate.onebuilding.org/WMO_Region_4_North_and_Central_America/CAN_Canada/NS_Nova_Scotia/CAN_NS_North.Mountain.716040_TMYx.2007-2021.zip")</f>
        <v>https://climate.onebuilding.org/WMO_Region_4_North_and_Central_America/CAN_Canada/NS_Nova_Scotia/CAN_NS_North.Mountain.716040_TMYx.2007-2021.zip</v>
      </c>
    </row>
    <row r="2169" spans="1:10" x14ac:dyDescent="0.25">
      <c r="A2169" t="s">
        <v>6</v>
      </c>
      <c r="B2169" t="s">
        <v>68</v>
      </c>
      <c r="C2169" t="s">
        <v>1093</v>
      </c>
      <c r="D2169">
        <v>716040</v>
      </c>
      <c r="E2169" t="s">
        <v>10</v>
      </c>
      <c r="F2169">
        <v>46.817779999999999</v>
      </c>
      <c r="G2169">
        <v>-60.671669999999999</v>
      </c>
      <c r="H2169">
        <v>-4</v>
      </c>
      <c r="I2169">
        <v>439.4</v>
      </c>
      <c r="J2169" t="str">
        <f>HYPERLINK("https://climate.onebuilding.org/WMO_Region_4_North_and_Central_America/CAN_Canada/NS_Nova_Scotia/CAN_NS_North.Mountain.716040_TMYx.2009-2023.zip")</f>
        <v>https://climate.onebuilding.org/WMO_Region_4_North_and_Central_America/CAN_Canada/NS_Nova_Scotia/CAN_NS_North.Mountain.716040_TMYx.2009-2023.zip</v>
      </c>
    </row>
    <row r="2170" spans="1:10" x14ac:dyDescent="0.25">
      <c r="A2170" t="s">
        <v>6</v>
      </c>
      <c r="B2170" t="s">
        <v>68</v>
      </c>
      <c r="C2170" t="s">
        <v>1093</v>
      </c>
      <c r="D2170">
        <v>716040</v>
      </c>
      <c r="E2170" t="s">
        <v>10</v>
      </c>
      <c r="F2170">
        <v>46.817779999999999</v>
      </c>
      <c r="G2170">
        <v>-60.671669999999999</v>
      </c>
      <c r="H2170">
        <v>-4</v>
      </c>
      <c r="I2170">
        <v>439.4</v>
      </c>
      <c r="J2170" t="str">
        <f>HYPERLINK("https://climate.onebuilding.org/WMO_Region_4_North_and_Central_America/CAN_Canada/NS_Nova_Scotia/CAN_NS_North.Mountain.716040_TMYx.zip")</f>
        <v>https://climate.onebuilding.org/WMO_Region_4_North_and_Central_America/CAN_Canada/NS_Nova_Scotia/CAN_NS_North.Mountain.716040_TMYx.zip</v>
      </c>
    </row>
    <row r="2171" spans="1:10" x14ac:dyDescent="0.25">
      <c r="A2171" t="s">
        <v>6</v>
      </c>
      <c r="B2171" t="s">
        <v>55</v>
      </c>
      <c r="C2171" t="s">
        <v>1095</v>
      </c>
      <c r="D2171">
        <v>716050</v>
      </c>
      <c r="E2171" t="s">
        <v>1096</v>
      </c>
      <c r="F2171">
        <v>49.517000000000003</v>
      </c>
      <c r="G2171">
        <v>-123.483</v>
      </c>
      <c r="H2171">
        <v>-8</v>
      </c>
      <c r="I2171">
        <v>123</v>
      </c>
      <c r="J2171" t="str">
        <f>HYPERLINK("https://climate.onebuilding.org/WMO_Region_4_North_and_Central_America/CAN_Canada/BC_British_Columbia/CAN_BC_Port.Mellon.716050_TMYx.2004-2018.zip")</f>
        <v>https://climate.onebuilding.org/WMO_Region_4_North_and_Central_America/CAN_Canada/BC_British_Columbia/CAN_BC_Port.Mellon.716050_TMYx.2004-2018.zip</v>
      </c>
    </row>
    <row r="2172" spans="1:10" x14ac:dyDescent="0.25">
      <c r="A2172" t="s">
        <v>6</v>
      </c>
      <c r="B2172" t="s">
        <v>55</v>
      </c>
      <c r="C2172" t="s">
        <v>1095</v>
      </c>
      <c r="D2172">
        <v>716050</v>
      </c>
      <c r="E2172" t="s">
        <v>10</v>
      </c>
      <c r="F2172">
        <v>49.526389999999999</v>
      </c>
      <c r="G2172">
        <v>-123.4961</v>
      </c>
      <c r="H2172">
        <v>-8</v>
      </c>
      <c r="I2172">
        <v>123</v>
      </c>
      <c r="J2172" t="str">
        <f>HYPERLINK("https://climate.onebuilding.org/WMO_Region_4_North_and_Central_America/CAN_Canada/BC_British_Columbia/CAN_BC_Port.Mellon.716050_TMYx.2007-2021.zip")</f>
        <v>https://climate.onebuilding.org/WMO_Region_4_North_and_Central_America/CAN_Canada/BC_British_Columbia/CAN_BC_Port.Mellon.716050_TMYx.2007-2021.zip</v>
      </c>
    </row>
    <row r="2173" spans="1:10" x14ac:dyDescent="0.25">
      <c r="A2173" t="s">
        <v>6</v>
      </c>
      <c r="B2173" t="s">
        <v>55</v>
      </c>
      <c r="C2173" t="s">
        <v>1095</v>
      </c>
      <c r="D2173">
        <v>716050</v>
      </c>
      <c r="E2173" t="s">
        <v>10</v>
      </c>
      <c r="F2173">
        <v>49.526389999999999</v>
      </c>
      <c r="G2173">
        <v>-123.4961</v>
      </c>
      <c r="H2173">
        <v>-8</v>
      </c>
      <c r="I2173">
        <v>123</v>
      </c>
      <c r="J2173" t="str">
        <f>HYPERLINK("https://climate.onebuilding.org/WMO_Region_4_North_and_Central_America/CAN_Canada/BC_British_Columbia/CAN_BC_Port.Mellon.716050_TMYx.2009-2023.zip")</f>
        <v>https://climate.onebuilding.org/WMO_Region_4_North_and_Central_America/CAN_Canada/BC_British_Columbia/CAN_BC_Port.Mellon.716050_TMYx.2009-2023.zip</v>
      </c>
    </row>
    <row r="2174" spans="1:10" x14ac:dyDescent="0.25">
      <c r="A2174" t="s">
        <v>6</v>
      </c>
      <c r="B2174" t="s">
        <v>55</v>
      </c>
      <c r="C2174" t="s">
        <v>1095</v>
      </c>
      <c r="D2174">
        <v>716050</v>
      </c>
      <c r="E2174" t="s">
        <v>10</v>
      </c>
      <c r="F2174">
        <v>49.526389999999999</v>
      </c>
      <c r="G2174">
        <v>-123.4961</v>
      </c>
      <c r="H2174">
        <v>-8</v>
      </c>
      <c r="I2174">
        <v>123</v>
      </c>
      <c r="J2174" t="str">
        <f>HYPERLINK("https://climate.onebuilding.org/WMO_Region_4_North_and_Central_America/CAN_Canada/BC_British_Columbia/CAN_BC_Port.Mellon.716050_TMYx.zip")</f>
        <v>https://climate.onebuilding.org/WMO_Region_4_North_and_Central_America/CAN_Canada/BC_British_Columbia/CAN_BC_Port.Mellon.716050_TMYx.zip</v>
      </c>
    </row>
    <row r="2175" spans="1:10" x14ac:dyDescent="0.25">
      <c r="A2175" t="s">
        <v>6</v>
      </c>
      <c r="B2175" t="s">
        <v>45</v>
      </c>
      <c r="C2175" t="s">
        <v>1097</v>
      </c>
      <c r="D2175">
        <v>716070</v>
      </c>
      <c r="E2175" t="s">
        <v>1098</v>
      </c>
      <c r="F2175">
        <v>45.210299999999997</v>
      </c>
      <c r="G2175">
        <v>-67.252799999999993</v>
      </c>
      <c r="H2175">
        <v>-4</v>
      </c>
      <c r="I2175">
        <v>27.7</v>
      </c>
      <c r="J2175" t="str">
        <f>HYPERLINK("https://climate.onebuilding.org/WMO_Region_4_North_and_Central_America/CAN_Canada/NB_New_Brunswick/CAN_NB_St.Stephen.AP.716070_TMYx.2004-2018.zip")</f>
        <v>https://climate.onebuilding.org/WMO_Region_4_North_and_Central_America/CAN_Canada/NB_New_Brunswick/CAN_NB_St.Stephen.AP.716070_TMYx.2004-2018.zip</v>
      </c>
    </row>
    <row r="2176" spans="1:10" x14ac:dyDescent="0.25">
      <c r="A2176" t="s">
        <v>6</v>
      </c>
      <c r="B2176" t="s">
        <v>45</v>
      </c>
      <c r="C2176" t="s">
        <v>1097</v>
      </c>
      <c r="D2176">
        <v>716070</v>
      </c>
      <c r="E2176" t="s">
        <v>10</v>
      </c>
      <c r="F2176">
        <v>45.210299999999997</v>
      </c>
      <c r="G2176">
        <v>-67.252799999999993</v>
      </c>
      <c r="H2176">
        <v>-4</v>
      </c>
      <c r="I2176">
        <v>27.7</v>
      </c>
      <c r="J2176" t="str">
        <f>HYPERLINK("https://climate.onebuilding.org/WMO_Region_4_North_and_Central_America/CAN_Canada/NB_New_Brunswick/CAN_NB_St.Stephen.AP.716070_TMYx.2007-2021.zip")</f>
        <v>https://climate.onebuilding.org/WMO_Region_4_North_and_Central_America/CAN_Canada/NB_New_Brunswick/CAN_NB_St.Stephen.AP.716070_TMYx.2007-2021.zip</v>
      </c>
    </row>
    <row r="2177" spans="1:10" x14ac:dyDescent="0.25">
      <c r="A2177" t="s">
        <v>6</v>
      </c>
      <c r="B2177" t="s">
        <v>45</v>
      </c>
      <c r="C2177" t="s">
        <v>1097</v>
      </c>
      <c r="D2177">
        <v>716070</v>
      </c>
      <c r="E2177" t="s">
        <v>10</v>
      </c>
      <c r="F2177">
        <v>45.210299999999997</v>
      </c>
      <c r="G2177">
        <v>-67.252799999999993</v>
      </c>
      <c r="H2177">
        <v>-4</v>
      </c>
      <c r="I2177">
        <v>27.7</v>
      </c>
      <c r="J2177" t="str">
        <f>HYPERLINK("https://climate.onebuilding.org/WMO_Region_4_North_and_Central_America/CAN_Canada/NB_New_Brunswick/CAN_NB_St.Stephen.AP.716070_TMYx.2009-2023.zip")</f>
        <v>https://climate.onebuilding.org/WMO_Region_4_North_and_Central_America/CAN_Canada/NB_New_Brunswick/CAN_NB_St.Stephen.AP.716070_TMYx.2009-2023.zip</v>
      </c>
    </row>
    <row r="2178" spans="1:10" x14ac:dyDescent="0.25">
      <c r="A2178" t="s">
        <v>6</v>
      </c>
      <c r="B2178" t="s">
        <v>45</v>
      </c>
      <c r="C2178" t="s">
        <v>1097</v>
      </c>
      <c r="D2178">
        <v>716070</v>
      </c>
      <c r="E2178" t="s">
        <v>10</v>
      </c>
      <c r="F2178">
        <v>45.210299999999997</v>
      </c>
      <c r="G2178">
        <v>-67.252799999999993</v>
      </c>
      <c r="H2178">
        <v>-4</v>
      </c>
      <c r="I2178">
        <v>27.7</v>
      </c>
      <c r="J2178" t="str">
        <f>HYPERLINK("https://climate.onebuilding.org/WMO_Region_4_North_and_Central_America/CAN_Canada/NB_New_Brunswick/CAN_NB_St.Stephen.AP.716070_TMYx.zip")</f>
        <v>https://climate.onebuilding.org/WMO_Region_4_North_and_Central_America/CAN_Canada/NB_New_Brunswick/CAN_NB_St.Stephen.AP.716070_TMYx.zip</v>
      </c>
    </row>
    <row r="2179" spans="1:10" x14ac:dyDescent="0.25">
      <c r="A2179" t="s">
        <v>6</v>
      </c>
      <c r="B2179" t="s">
        <v>45</v>
      </c>
      <c r="C2179" t="s">
        <v>1099</v>
      </c>
      <c r="D2179">
        <v>716090</v>
      </c>
      <c r="E2179" t="s">
        <v>1100</v>
      </c>
      <c r="F2179">
        <v>45.318100000000001</v>
      </c>
      <c r="G2179">
        <v>-65.885599999999997</v>
      </c>
      <c r="H2179">
        <v>-4</v>
      </c>
      <c r="I2179">
        <v>108.8</v>
      </c>
      <c r="J2179" t="str">
        <f>HYPERLINK("https://climate.onebuilding.org/WMO_Region_4_North_and_Central_America/CAN_Canada/NB_New_Brunswick/CAN_NB_Saint.John.AP.716090_TMYx.2004-2018.zip")</f>
        <v>https://climate.onebuilding.org/WMO_Region_4_North_and_Central_America/CAN_Canada/NB_New_Brunswick/CAN_NB_Saint.John.AP.716090_TMYx.2004-2018.zip</v>
      </c>
    </row>
    <row r="2180" spans="1:10" x14ac:dyDescent="0.25">
      <c r="A2180" t="s">
        <v>6</v>
      </c>
      <c r="B2180" t="s">
        <v>45</v>
      </c>
      <c r="C2180" t="s">
        <v>1099</v>
      </c>
      <c r="D2180">
        <v>716090</v>
      </c>
      <c r="E2180" t="s">
        <v>10</v>
      </c>
      <c r="F2180">
        <v>45.318100000000001</v>
      </c>
      <c r="G2180">
        <v>-65.885599999999997</v>
      </c>
      <c r="H2180">
        <v>-4</v>
      </c>
      <c r="I2180">
        <v>108.8</v>
      </c>
      <c r="J2180" t="str">
        <f>HYPERLINK("https://climate.onebuilding.org/WMO_Region_4_North_and_Central_America/CAN_Canada/NB_New_Brunswick/CAN_NB_Saint.John.AP.716090_TMYx.2007-2021.zip")</f>
        <v>https://climate.onebuilding.org/WMO_Region_4_North_and_Central_America/CAN_Canada/NB_New_Brunswick/CAN_NB_Saint.John.AP.716090_TMYx.2007-2021.zip</v>
      </c>
    </row>
    <row r="2181" spans="1:10" x14ac:dyDescent="0.25">
      <c r="A2181" t="s">
        <v>6</v>
      </c>
      <c r="B2181" t="s">
        <v>45</v>
      </c>
      <c r="C2181" t="s">
        <v>1099</v>
      </c>
      <c r="D2181">
        <v>716090</v>
      </c>
      <c r="E2181" t="s">
        <v>10</v>
      </c>
      <c r="F2181">
        <v>45.318100000000001</v>
      </c>
      <c r="G2181">
        <v>-65.885599999999997</v>
      </c>
      <c r="H2181">
        <v>-4</v>
      </c>
      <c r="I2181">
        <v>108.8</v>
      </c>
      <c r="J2181" t="str">
        <f>HYPERLINK("https://climate.onebuilding.org/WMO_Region_4_North_and_Central_America/CAN_Canada/NB_New_Brunswick/CAN_NB_Saint.John.AP.716090_TMYx.2009-2023.zip")</f>
        <v>https://climate.onebuilding.org/WMO_Region_4_North_and_Central_America/CAN_Canada/NB_New_Brunswick/CAN_NB_Saint.John.AP.716090_TMYx.2009-2023.zip</v>
      </c>
    </row>
    <row r="2182" spans="1:10" x14ac:dyDescent="0.25">
      <c r="A2182" t="s">
        <v>6</v>
      </c>
      <c r="B2182" t="s">
        <v>45</v>
      </c>
      <c r="C2182" t="s">
        <v>1099</v>
      </c>
      <c r="D2182">
        <v>716090</v>
      </c>
      <c r="E2182" t="s">
        <v>10</v>
      </c>
      <c r="F2182">
        <v>45.318100000000001</v>
      </c>
      <c r="G2182">
        <v>-65.885599999999997</v>
      </c>
      <c r="H2182">
        <v>-4</v>
      </c>
      <c r="I2182">
        <v>108.8</v>
      </c>
      <c r="J2182" t="str">
        <f>HYPERLINK("https://climate.onebuilding.org/WMO_Region_4_North_and_Central_America/CAN_Canada/NB_New_Brunswick/CAN_NB_Saint.John.AP.716090_TMYx.zip")</f>
        <v>https://climate.onebuilding.org/WMO_Region_4_North_and_Central_America/CAN_Canada/NB_New_Brunswick/CAN_NB_Saint.John.AP.716090_TMYx.zip</v>
      </c>
    </row>
    <row r="2183" spans="1:10" x14ac:dyDescent="0.25">
      <c r="A2183" t="s">
        <v>6</v>
      </c>
      <c r="B2183" t="s">
        <v>14</v>
      </c>
      <c r="C2183" t="s">
        <v>1101</v>
      </c>
      <c r="D2183">
        <v>716100</v>
      </c>
      <c r="E2183" t="s">
        <v>1102</v>
      </c>
      <c r="F2183">
        <v>45.438600000000001</v>
      </c>
      <c r="G2183">
        <v>-71.691400000000002</v>
      </c>
      <c r="H2183">
        <v>-5</v>
      </c>
      <c r="I2183">
        <v>241.4</v>
      </c>
      <c r="J2183" t="str">
        <f>HYPERLINK("https://climate.onebuilding.org/WMO_Region_4_North_and_Central_America/CAN_Canada/QC_Quebec/CAN_QC_Sherbrooke.AP.716100_TMYx.2004-2018.zip")</f>
        <v>https://climate.onebuilding.org/WMO_Region_4_North_and_Central_America/CAN_Canada/QC_Quebec/CAN_QC_Sherbrooke.AP.716100_TMYx.2004-2018.zip</v>
      </c>
    </row>
    <row r="2184" spans="1:10" x14ac:dyDescent="0.25">
      <c r="A2184" t="s">
        <v>6</v>
      </c>
      <c r="B2184" t="s">
        <v>14</v>
      </c>
      <c r="C2184" t="s">
        <v>1101</v>
      </c>
      <c r="D2184">
        <v>716100</v>
      </c>
      <c r="E2184" t="s">
        <v>10</v>
      </c>
      <c r="F2184">
        <v>45.440300000000001</v>
      </c>
      <c r="G2184">
        <v>-71.691800000000001</v>
      </c>
      <c r="H2184">
        <v>-5</v>
      </c>
      <c r="I2184">
        <v>241.4</v>
      </c>
      <c r="J2184" t="str">
        <f>HYPERLINK("https://climate.onebuilding.org/WMO_Region_4_North_and_Central_America/CAN_Canada/QC_Quebec/CAN_QC_Sherbrooke.AP.716100_TMYx.2007-2021.zip")</f>
        <v>https://climate.onebuilding.org/WMO_Region_4_North_and_Central_America/CAN_Canada/QC_Quebec/CAN_QC_Sherbrooke.AP.716100_TMYx.2007-2021.zip</v>
      </c>
    </row>
    <row r="2185" spans="1:10" x14ac:dyDescent="0.25">
      <c r="A2185" t="s">
        <v>6</v>
      </c>
      <c r="B2185" t="s">
        <v>14</v>
      </c>
      <c r="C2185" t="s">
        <v>1101</v>
      </c>
      <c r="D2185">
        <v>716100</v>
      </c>
      <c r="E2185" t="s">
        <v>10</v>
      </c>
      <c r="F2185">
        <v>45.440300000000001</v>
      </c>
      <c r="G2185">
        <v>-71.691800000000001</v>
      </c>
      <c r="H2185">
        <v>-5</v>
      </c>
      <c r="I2185">
        <v>241.4</v>
      </c>
      <c r="J2185" t="str">
        <f>HYPERLINK("https://climate.onebuilding.org/WMO_Region_4_North_and_Central_America/CAN_Canada/QC_Quebec/CAN_QC_Sherbrooke.AP.716100_TMYx.2009-2023.zip")</f>
        <v>https://climate.onebuilding.org/WMO_Region_4_North_and_Central_America/CAN_Canada/QC_Quebec/CAN_QC_Sherbrooke.AP.716100_TMYx.2009-2023.zip</v>
      </c>
    </row>
    <row r="2186" spans="1:10" x14ac:dyDescent="0.25">
      <c r="A2186" t="s">
        <v>6</v>
      </c>
      <c r="B2186" t="s">
        <v>14</v>
      </c>
      <c r="C2186" t="s">
        <v>1101</v>
      </c>
      <c r="D2186">
        <v>716100</v>
      </c>
      <c r="E2186" t="s">
        <v>10</v>
      </c>
      <c r="F2186">
        <v>45.440300000000001</v>
      </c>
      <c r="G2186">
        <v>-71.691800000000001</v>
      </c>
      <c r="H2186">
        <v>-5</v>
      </c>
      <c r="I2186">
        <v>241.4</v>
      </c>
      <c r="J2186" t="str">
        <f>HYPERLINK("https://climate.onebuilding.org/WMO_Region_4_North_and_Central_America/CAN_Canada/QC_Quebec/CAN_QC_Sherbrooke.AP.716100_TMYx.zip")</f>
        <v>https://climate.onebuilding.org/WMO_Region_4_North_and_Central_America/CAN_Canada/QC_Quebec/CAN_QC_Sherbrooke.AP.716100_TMYx.zip</v>
      </c>
    </row>
    <row r="2187" spans="1:10" x14ac:dyDescent="0.25">
      <c r="A2187" t="s">
        <v>6</v>
      </c>
      <c r="B2187" t="s">
        <v>14</v>
      </c>
      <c r="C2187" t="s">
        <v>1103</v>
      </c>
      <c r="D2187">
        <v>716110</v>
      </c>
      <c r="E2187" t="s">
        <v>1104</v>
      </c>
      <c r="F2187">
        <v>45.368899999999996</v>
      </c>
      <c r="G2187">
        <v>-71.823599999999999</v>
      </c>
      <c r="H2187">
        <v>-5</v>
      </c>
      <c r="I2187">
        <v>181</v>
      </c>
      <c r="J2187" t="str">
        <f>HYPERLINK("https://climate.onebuilding.org/WMO_Region_4_North_and_Central_America/CAN_Canada/QC_Quebec/CAN_QC_Lennoxville.716110_TMYx.2004-2018.zip")</f>
        <v>https://climate.onebuilding.org/WMO_Region_4_North_and_Central_America/CAN_Canada/QC_Quebec/CAN_QC_Lennoxville.716110_TMYx.2004-2018.zip</v>
      </c>
    </row>
    <row r="2188" spans="1:10" x14ac:dyDescent="0.25">
      <c r="A2188" t="s">
        <v>6</v>
      </c>
      <c r="B2188" t="s">
        <v>14</v>
      </c>
      <c r="C2188" t="s">
        <v>1103</v>
      </c>
      <c r="D2188">
        <v>716110</v>
      </c>
      <c r="E2188" t="s">
        <v>10</v>
      </c>
      <c r="F2188">
        <v>45.368899999999996</v>
      </c>
      <c r="G2188">
        <v>-71.823599999999999</v>
      </c>
      <c r="H2188">
        <v>-5</v>
      </c>
      <c r="I2188">
        <v>181</v>
      </c>
      <c r="J2188" t="str">
        <f>HYPERLINK("https://climate.onebuilding.org/WMO_Region_4_North_and_Central_America/CAN_Canada/QC_Quebec/CAN_QC_Lennoxville.716110_TMYx.2007-2021.zip")</f>
        <v>https://climate.onebuilding.org/WMO_Region_4_North_and_Central_America/CAN_Canada/QC_Quebec/CAN_QC_Lennoxville.716110_TMYx.2007-2021.zip</v>
      </c>
    </row>
    <row r="2189" spans="1:10" x14ac:dyDescent="0.25">
      <c r="A2189" t="s">
        <v>6</v>
      </c>
      <c r="B2189" t="s">
        <v>14</v>
      </c>
      <c r="C2189" t="s">
        <v>1103</v>
      </c>
      <c r="D2189">
        <v>716110</v>
      </c>
      <c r="E2189" t="s">
        <v>10</v>
      </c>
      <c r="F2189">
        <v>45.368899999999996</v>
      </c>
      <c r="G2189">
        <v>-71.823599999999999</v>
      </c>
      <c r="H2189">
        <v>-5</v>
      </c>
      <c r="I2189">
        <v>181</v>
      </c>
      <c r="J2189" t="str">
        <f>HYPERLINK("https://climate.onebuilding.org/WMO_Region_4_North_and_Central_America/CAN_Canada/QC_Quebec/CAN_QC_Lennoxville.716110_TMYx.2009-2023.zip")</f>
        <v>https://climate.onebuilding.org/WMO_Region_4_North_and_Central_America/CAN_Canada/QC_Quebec/CAN_QC_Lennoxville.716110_TMYx.2009-2023.zip</v>
      </c>
    </row>
    <row r="2190" spans="1:10" x14ac:dyDescent="0.25">
      <c r="A2190" t="s">
        <v>6</v>
      </c>
      <c r="B2190" t="s">
        <v>14</v>
      </c>
      <c r="C2190" t="s">
        <v>1103</v>
      </c>
      <c r="D2190">
        <v>716110</v>
      </c>
      <c r="E2190" t="s">
        <v>10</v>
      </c>
      <c r="F2190">
        <v>45.368899999999996</v>
      </c>
      <c r="G2190">
        <v>-71.823599999999999</v>
      </c>
      <c r="H2190">
        <v>-5</v>
      </c>
      <c r="I2190">
        <v>181</v>
      </c>
      <c r="J2190" t="str">
        <f>HYPERLINK("https://climate.onebuilding.org/WMO_Region_4_North_and_Central_America/CAN_Canada/QC_Quebec/CAN_QC_Lennoxville.716110_TMYx.zip")</f>
        <v>https://climate.onebuilding.org/WMO_Region_4_North_and_Central_America/CAN_Canada/QC_Quebec/CAN_QC_Lennoxville.716110_TMYx.zip</v>
      </c>
    </row>
    <row r="2191" spans="1:10" x14ac:dyDescent="0.25">
      <c r="A2191" t="s">
        <v>6</v>
      </c>
      <c r="B2191" t="s">
        <v>14</v>
      </c>
      <c r="C2191" t="s">
        <v>1105</v>
      </c>
      <c r="D2191">
        <v>716120</v>
      </c>
      <c r="E2191" t="s">
        <v>1106</v>
      </c>
      <c r="F2191">
        <v>45.506100000000004</v>
      </c>
      <c r="G2191">
        <v>-73.578900000000004</v>
      </c>
      <c r="H2191">
        <v>-5</v>
      </c>
      <c r="I2191">
        <v>72.599999999999994</v>
      </c>
      <c r="J2191" t="str">
        <f>HYPERLINK("https://climate.onebuilding.org/WMO_Region_4_North_and_Central_America/CAN_Canada/QC_Quebec/CAN_QC_Montreal.Center-Jean.Brebeuf-McGill.Univ-McTavish.716120_TMYx.2004-2018.zip")</f>
        <v>https://climate.onebuilding.org/WMO_Region_4_North_and_Central_America/CAN_Canada/QC_Quebec/CAN_QC_Montreal.Center-Jean.Brebeuf-McGill.Univ-McTavish.716120_TMYx.2004-2018.zip</v>
      </c>
    </row>
    <row r="2192" spans="1:10" x14ac:dyDescent="0.25">
      <c r="A2192" t="s">
        <v>6</v>
      </c>
      <c r="B2192" t="s">
        <v>14</v>
      </c>
      <c r="C2192" t="s">
        <v>1105</v>
      </c>
      <c r="D2192">
        <v>716120</v>
      </c>
      <c r="E2192" t="s">
        <v>10</v>
      </c>
      <c r="F2192">
        <v>45.505000000000003</v>
      </c>
      <c r="G2192">
        <v>-73.579160000000002</v>
      </c>
      <c r="H2192">
        <v>-5</v>
      </c>
      <c r="I2192">
        <v>72.599999999999994</v>
      </c>
      <c r="J2192" t="str">
        <f>HYPERLINK("https://climate.onebuilding.org/WMO_Region_4_North_and_Central_America/CAN_Canada/QC_Quebec/CAN_QC_Montreal.Center-Jean.Brebeuf-McGill.Univ-McTavish.716120_TMYx.2007-2021.zip")</f>
        <v>https://climate.onebuilding.org/WMO_Region_4_North_and_Central_America/CAN_Canada/QC_Quebec/CAN_QC_Montreal.Center-Jean.Brebeuf-McGill.Univ-McTavish.716120_TMYx.2007-2021.zip</v>
      </c>
    </row>
    <row r="2193" spans="1:10" x14ac:dyDescent="0.25">
      <c r="A2193" t="s">
        <v>6</v>
      </c>
      <c r="B2193" t="s">
        <v>14</v>
      </c>
      <c r="C2193" t="s">
        <v>1105</v>
      </c>
      <c r="D2193">
        <v>716120</v>
      </c>
      <c r="E2193" t="s">
        <v>10</v>
      </c>
      <c r="F2193">
        <v>45.505000000000003</v>
      </c>
      <c r="G2193">
        <v>-73.579160000000002</v>
      </c>
      <c r="H2193">
        <v>-5</v>
      </c>
      <c r="I2193">
        <v>72.599999999999994</v>
      </c>
      <c r="J2193" t="str">
        <f>HYPERLINK("https://climate.onebuilding.org/WMO_Region_4_North_and_Central_America/CAN_Canada/QC_Quebec/CAN_QC_Montreal.Center-Jean.Brebeuf-McGill.Univ-McTavish.716120_TMYx.2009-2023.zip")</f>
        <v>https://climate.onebuilding.org/WMO_Region_4_North_and_Central_America/CAN_Canada/QC_Quebec/CAN_QC_Montreal.Center-Jean.Brebeuf-McGill.Univ-McTavish.716120_TMYx.2009-2023.zip</v>
      </c>
    </row>
    <row r="2194" spans="1:10" x14ac:dyDescent="0.25">
      <c r="A2194" t="s">
        <v>6</v>
      </c>
      <c r="B2194" t="s">
        <v>14</v>
      </c>
      <c r="C2194" t="s">
        <v>1105</v>
      </c>
      <c r="D2194">
        <v>716120</v>
      </c>
      <c r="E2194" t="s">
        <v>10</v>
      </c>
      <c r="F2194">
        <v>45.505000000000003</v>
      </c>
      <c r="G2194">
        <v>-73.579160000000002</v>
      </c>
      <c r="H2194">
        <v>-5</v>
      </c>
      <c r="I2194">
        <v>72.599999999999994</v>
      </c>
      <c r="J2194" t="str">
        <f>HYPERLINK("https://climate.onebuilding.org/WMO_Region_4_North_and_Central_America/CAN_Canada/QC_Quebec/CAN_QC_Montreal.Center-Jean.Brebeuf-McGill.Univ-McTavish.716120_TMYx.zip")</f>
        <v>https://climate.onebuilding.org/WMO_Region_4_North_and_Central_America/CAN_Canada/QC_Quebec/CAN_QC_Montreal.Center-Jean.Brebeuf-McGill.Univ-McTavish.716120_TMYx.zip</v>
      </c>
    </row>
    <row r="2195" spans="1:10" x14ac:dyDescent="0.25">
      <c r="A2195" t="s">
        <v>6</v>
      </c>
      <c r="B2195" t="s">
        <v>14</v>
      </c>
      <c r="C2195" t="s">
        <v>1107</v>
      </c>
      <c r="D2195">
        <v>716140</v>
      </c>
      <c r="E2195" t="s">
        <v>1108</v>
      </c>
      <c r="F2195">
        <v>45.167200000000001</v>
      </c>
      <c r="G2195">
        <v>-73.678899999999999</v>
      </c>
      <c r="H2195">
        <v>-5</v>
      </c>
      <c r="I2195">
        <v>53</v>
      </c>
      <c r="J2195" t="str">
        <f>HYPERLINK("https://climate.onebuilding.org/WMO_Region_4_North_and_Central_America/CAN_Canada/QC_Quebec/CAN_QC_Ste.Clothilde.des.Chateauguay.716140_TMYx.2004-2018.zip")</f>
        <v>https://climate.onebuilding.org/WMO_Region_4_North_and_Central_America/CAN_Canada/QC_Quebec/CAN_QC_Ste.Clothilde.des.Chateauguay.716140_TMYx.2004-2018.zip</v>
      </c>
    </row>
    <row r="2196" spans="1:10" x14ac:dyDescent="0.25">
      <c r="A2196" t="s">
        <v>6</v>
      </c>
      <c r="B2196" t="s">
        <v>14</v>
      </c>
      <c r="C2196" t="s">
        <v>1107</v>
      </c>
      <c r="D2196">
        <v>716140</v>
      </c>
      <c r="E2196" t="s">
        <v>10</v>
      </c>
      <c r="F2196">
        <v>45.166699999999999</v>
      </c>
      <c r="G2196">
        <v>-73.678299999999993</v>
      </c>
      <c r="H2196">
        <v>-5</v>
      </c>
      <c r="I2196">
        <v>53</v>
      </c>
      <c r="J2196" t="str">
        <f>HYPERLINK("https://climate.onebuilding.org/WMO_Region_4_North_and_Central_America/CAN_Canada/QC_Quebec/CAN_QC_Ste.Clothilde.des.Chateauguay.716140_TMYx.2007-2021.zip")</f>
        <v>https://climate.onebuilding.org/WMO_Region_4_North_and_Central_America/CAN_Canada/QC_Quebec/CAN_QC_Ste.Clothilde.des.Chateauguay.716140_TMYx.2007-2021.zip</v>
      </c>
    </row>
    <row r="2197" spans="1:10" x14ac:dyDescent="0.25">
      <c r="A2197" t="s">
        <v>6</v>
      </c>
      <c r="B2197" t="s">
        <v>14</v>
      </c>
      <c r="C2197" t="s">
        <v>1107</v>
      </c>
      <c r="D2197">
        <v>716140</v>
      </c>
      <c r="E2197" t="s">
        <v>10</v>
      </c>
      <c r="F2197">
        <v>45.166699999999999</v>
      </c>
      <c r="G2197">
        <v>-73.678299999999993</v>
      </c>
      <c r="H2197">
        <v>-5</v>
      </c>
      <c r="I2197">
        <v>53</v>
      </c>
      <c r="J2197" t="str">
        <f>HYPERLINK("https://climate.onebuilding.org/WMO_Region_4_North_and_Central_America/CAN_Canada/QC_Quebec/CAN_QC_Ste.Clothilde.des.Chateauguay.716140_TMYx.2009-2023.zip")</f>
        <v>https://climate.onebuilding.org/WMO_Region_4_North_and_Central_America/CAN_Canada/QC_Quebec/CAN_QC_Ste.Clothilde.des.Chateauguay.716140_TMYx.2009-2023.zip</v>
      </c>
    </row>
    <row r="2198" spans="1:10" x14ac:dyDescent="0.25">
      <c r="A2198" t="s">
        <v>6</v>
      </c>
      <c r="B2198" t="s">
        <v>14</v>
      </c>
      <c r="C2198" t="s">
        <v>1107</v>
      </c>
      <c r="D2198">
        <v>716140</v>
      </c>
      <c r="E2198" t="s">
        <v>10</v>
      </c>
      <c r="F2198">
        <v>45.166699999999999</v>
      </c>
      <c r="G2198">
        <v>-73.678299999999993</v>
      </c>
      <c r="H2198">
        <v>-5</v>
      </c>
      <c r="I2198">
        <v>53</v>
      </c>
      <c r="J2198" t="str">
        <f>HYPERLINK("https://climate.onebuilding.org/WMO_Region_4_North_and_Central_America/CAN_Canada/QC_Quebec/CAN_QC_Ste.Clothilde.des.Chateauguay.716140_TMYx.zip")</f>
        <v>https://climate.onebuilding.org/WMO_Region_4_North_and_Central_America/CAN_Canada/QC_Quebec/CAN_QC_Ste.Clothilde.des.Chateauguay.716140_TMYx.zip</v>
      </c>
    </row>
    <row r="2199" spans="1:10" x14ac:dyDescent="0.25">
      <c r="A2199" t="s">
        <v>6</v>
      </c>
      <c r="B2199" t="s">
        <v>14</v>
      </c>
      <c r="C2199" t="s">
        <v>1109</v>
      </c>
      <c r="D2199">
        <v>716160</v>
      </c>
      <c r="E2199" t="s">
        <v>1110</v>
      </c>
      <c r="F2199">
        <v>46.303600000000003</v>
      </c>
      <c r="G2199">
        <v>-72.0608</v>
      </c>
      <c r="H2199">
        <v>-5</v>
      </c>
      <c r="I2199">
        <v>97.2</v>
      </c>
      <c r="J2199" t="str">
        <f>HYPERLINK("https://climate.onebuilding.org/WMO_Region_4_North_and_Central_America/CAN_Canada/QC_Quebec/CAN_QC_Lemieux.716160_TMYx.2004-2018.zip")</f>
        <v>https://climate.onebuilding.org/WMO_Region_4_North_and_Central_America/CAN_Canada/QC_Quebec/CAN_QC_Lemieux.716160_TMYx.2004-2018.zip</v>
      </c>
    </row>
    <row r="2200" spans="1:10" x14ac:dyDescent="0.25">
      <c r="A2200" t="s">
        <v>6</v>
      </c>
      <c r="B2200" t="s">
        <v>14</v>
      </c>
      <c r="C2200" t="s">
        <v>1109</v>
      </c>
      <c r="D2200">
        <v>716160</v>
      </c>
      <c r="E2200" t="s">
        <v>10</v>
      </c>
      <c r="F2200">
        <v>46.303600000000003</v>
      </c>
      <c r="G2200">
        <v>-72.0608</v>
      </c>
      <c r="H2200">
        <v>-5</v>
      </c>
      <c r="I2200">
        <v>97.2</v>
      </c>
      <c r="J2200" t="str">
        <f>HYPERLINK("https://climate.onebuilding.org/WMO_Region_4_North_and_Central_America/CAN_Canada/QC_Quebec/CAN_QC_Lemieux.716160_TMYx.2007-2021.zip")</f>
        <v>https://climate.onebuilding.org/WMO_Region_4_North_and_Central_America/CAN_Canada/QC_Quebec/CAN_QC_Lemieux.716160_TMYx.2007-2021.zip</v>
      </c>
    </row>
    <row r="2201" spans="1:10" x14ac:dyDescent="0.25">
      <c r="A2201" t="s">
        <v>6</v>
      </c>
      <c r="B2201" t="s">
        <v>14</v>
      </c>
      <c r="C2201" t="s">
        <v>1109</v>
      </c>
      <c r="D2201">
        <v>716160</v>
      </c>
      <c r="E2201" t="s">
        <v>10</v>
      </c>
      <c r="F2201">
        <v>46.303600000000003</v>
      </c>
      <c r="G2201">
        <v>-72.0608</v>
      </c>
      <c r="H2201">
        <v>-5</v>
      </c>
      <c r="I2201">
        <v>97.2</v>
      </c>
      <c r="J2201" t="str">
        <f>HYPERLINK("https://climate.onebuilding.org/WMO_Region_4_North_and_Central_America/CAN_Canada/QC_Quebec/CAN_QC_Lemieux.716160_TMYx.2009-2023.zip")</f>
        <v>https://climate.onebuilding.org/WMO_Region_4_North_and_Central_America/CAN_Canada/QC_Quebec/CAN_QC_Lemieux.716160_TMYx.2009-2023.zip</v>
      </c>
    </row>
    <row r="2202" spans="1:10" x14ac:dyDescent="0.25">
      <c r="A2202" t="s">
        <v>6</v>
      </c>
      <c r="B2202" t="s">
        <v>14</v>
      </c>
      <c r="C2202" t="s">
        <v>1109</v>
      </c>
      <c r="D2202">
        <v>716160</v>
      </c>
      <c r="E2202" t="s">
        <v>10</v>
      </c>
      <c r="F2202">
        <v>46.303600000000003</v>
      </c>
      <c r="G2202">
        <v>-72.0608</v>
      </c>
      <c r="H2202">
        <v>-5</v>
      </c>
      <c r="I2202">
        <v>97.2</v>
      </c>
      <c r="J2202" t="str">
        <f>HYPERLINK("https://climate.onebuilding.org/WMO_Region_4_North_and_Central_America/CAN_Canada/QC_Quebec/CAN_QC_Lemieux.716160_TMYx.zip")</f>
        <v>https://climate.onebuilding.org/WMO_Region_4_North_and_Central_America/CAN_Canada/QC_Quebec/CAN_QC_Lemieux.716160_TMYx.zip</v>
      </c>
    </row>
    <row r="2203" spans="1:10" x14ac:dyDescent="0.25">
      <c r="A2203" t="s">
        <v>6</v>
      </c>
      <c r="B2203" t="s">
        <v>14</v>
      </c>
      <c r="C2203" t="s">
        <v>1111</v>
      </c>
      <c r="D2203">
        <v>716170</v>
      </c>
      <c r="E2203" t="s">
        <v>1112</v>
      </c>
      <c r="F2203">
        <v>48.417000000000002</v>
      </c>
      <c r="G2203">
        <v>-71.132999999999996</v>
      </c>
      <c r="H2203">
        <v>-5</v>
      </c>
      <c r="I2203">
        <v>128</v>
      </c>
      <c r="J2203" t="str">
        <f>HYPERLINK("https://climate.onebuilding.org/WMO_Region_4_North_and_Central_America/CAN_Canada/QC_Quebec/CAN_QC_Jonquiere.716170_TMYx.2004-2018.zip")</f>
        <v>https://climate.onebuilding.org/WMO_Region_4_North_and_Central_America/CAN_Canada/QC_Quebec/CAN_QC_Jonquiere.716170_TMYx.2004-2018.zip</v>
      </c>
    </row>
    <row r="2204" spans="1:10" x14ac:dyDescent="0.25">
      <c r="A2204" t="s">
        <v>6</v>
      </c>
      <c r="B2204" t="s">
        <v>14</v>
      </c>
      <c r="C2204" t="s">
        <v>1111</v>
      </c>
      <c r="D2204">
        <v>716170</v>
      </c>
      <c r="E2204" t="s">
        <v>10</v>
      </c>
      <c r="F2204">
        <v>48.424999999999997</v>
      </c>
      <c r="G2204">
        <v>-71.142489999999995</v>
      </c>
      <c r="H2204">
        <v>-5</v>
      </c>
      <c r="I2204">
        <v>128</v>
      </c>
      <c r="J2204" t="str">
        <f>HYPERLINK("https://climate.onebuilding.org/WMO_Region_4_North_and_Central_America/CAN_Canada/QC_Quebec/CAN_QC_Jonquiere.716170_TMYx.2007-2021.zip")</f>
        <v>https://climate.onebuilding.org/WMO_Region_4_North_and_Central_America/CAN_Canada/QC_Quebec/CAN_QC_Jonquiere.716170_TMYx.2007-2021.zip</v>
      </c>
    </row>
    <row r="2205" spans="1:10" x14ac:dyDescent="0.25">
      <c r="A2205" t="s">
        <v>6</v>
      </c>
      <c r="B2205" t="s">
        <v>14</v>
      </c>
      <c r="C2205" t="s">
        <v>1111</v>
      </c>
      <c r="D2205">
        <v>716170</v>
      </c>
      <c r="E2205" t="s">
        <v>10</v>
      </c>
      <c r="F2205">
        <v>48.424999999999997</v>
      </c>
      <c r="G2205">
        <v>-71.142489999999995</v>
      </c>
      <c r="H2205">
        <v>-5</v>
      </c>
      <c r="I2205">
        <v>128</v>
      </c>
      <c r="J2205" t="str">
        <f>HYPERLINK("https://climate.onebuilding.org/WMO_Region_4_North_and_Central_America/CAN_Canada/QC_Quebec/CAN_QC_Jonquiere.716170_TMYx.2009-2023.zip")</f>
        <v>https://climate.onebuilding.org/WMO_Region_4_North_and_Central_America/CAN_Canada/QC_Quebec/CAN_QC_Jonquiere.716170_TMYx.2009-2023.zip</v>
      </c>
    </row>
    <row r="2206" spans="1:10" x14ac:dyDescent="0.25">
      <c r="A2206" t="s">
        <v>6</v>
      </c>
      <c r="B2206" t="s">
        <v>14</v>
      </c>
      <c r="C2206" t="s">
        <v>1111</v>
      </c>
      <c r="D2206">
        <v>716170</v>
      </c>
      <c r="E2206" t="s">
        <v>10</v>
      </c>
      <c r="F2206">
        <v>48.424999999999997</v>
      </c>
      <c r="G2206">
        <v>-71.142489999999995</v>
      </c>
      <c r="H2206">
        <v>-5</v>
      </c>
      <c r="I2206">
        <v>128</v>
      </c>
      <c r="J2206" t="str">
        <f>HYPERLINK("https://climate.onebuilding.org/WMO_Region_4_North_and_Central_America/CAN_Canada/QC_Quebec/CAN_QC_Jonquiere.716170_TMYx.zip")</f>
        <v>https://climate.onebuilding.org/WMO_Region_4_North_and_Central_America/CAN_Canada/QC_Quebec/CAN_QC_Jonquiere.716170_TMYx.zip</v>
      </c>
    </row>
    <row r="2207" spans="1:10" x14ac:dyDescent="0.25">
      <c r="A2207" t="s">
        <v>6</v>
      </c>
      <c r="B2207" t="s">
        <v>94</v>
      </c>
      <c r="C2207" t="s">
        <v>1113</v>
      </c>
      <c r="D2207">
        <v>716180</v>
      </c>
      <c r="E2207" t="s">
        <v>1114</v>
      </c>
      <c r="F2207">
        <v>58.739199999999997</v>
      </c>
      <c r="G2207">
        <v>-94.066400000000002</v>
      </c>
      <c r="H2207">
        <v>-6</v>
      </c>
      <c r="I2207">
        <v>29.3</v>
      </c>
      <c r="J2207" t="str">
        <f>HYPERLINK("https://climate.onebuilding.org/WMO_Region_4_North_and_Central_America/CAN_Canada/MB_Manitoba/CAN_MB_Churchill.AP.716180_TMYx.2004-2018.zip")</f>
        <v>https://climate.onebuilding.org/WMO_Region_4_North_and_Central_America/CAN_Canada/MB_Manitoba/CAN_MB_Churchill.AP.716180_TMYx.2004-2018.zip</v>
      </c>
    </row>
    <row r="2208" spans="1:10" x14ac:dyDescent="0.25">
      <c r="A2208" t="s">
        <v>6</v>
      </c>
      <c r="B2208" t="s">
        <v>94</v>
      </c>
      <c r="C2208" t="s">
        <v>1113</v>
      </c>
      <c r="D2208">
        <v>716180</v>
      </c>
      <c r="E2208" t="s">
        <v>10</v>
      </c>
      <c r="F2208">
        <v>58.74</v>
      </c>
      <c r="G2208">
        <v>-94.07</v>
      </c>
      <c r="H2208">
        <v>-6</v>
      </c>
      <c r="I2208">
        <v>29.3</v>
      </c>
      <c r="J2208" t="str">
        <f>HYPERLINK("https://climate.onebuilding.org/WMO_Region_4_North_and_Central_America/CAN_Canada/MB_Manitoba/CAN_MB_Churchill.AP.716180_TMYx.2007-2021.zip")</f>
        <v>https://climate.onebuilding.org/WMO_Region_4_North_and_Central_America/CAN_Canada/MB_Manitoba/CAN_MB_Churchill.AP.716180_TMYx.2007-2021.zip</v>
      </c>
    </row>
    <row r="2209" spans="1:10" x14ac:dyDescent="0.25">
      <c r="A2209" t="s">
        <v>6</v>
      </c>
      <c r="B2209" t="s">
        <v>94</v>
      </c>
      <c r="C2209" t="s">
        <v>1113</v>
      </c>
      <c r="D2209">
        <v>716180</v>
      </c>
      <c r="E2209" t="s">
        <v>10</v>
      </c>
      <c r="F2209">
        <v>58.74</v>
      </c>
      <c r="G2209">
        <v>-94.07</v>
      </c>
      <c r="H2209">
        <v>-6</v>
      </c>
      <c r="I2209">
        <v>29.3</v>
      </c>
      <c r="J2209" t="str">
        <f>HYPERLINK("https://climate.onebuilding.org/WMO_Region_4_North_and_Central_America/CAN_Canada/MB_Manitoba/CAN_MB_Churchill.AP.716180_TMYx.2009-2023.zip")</f>
        <v>https://climate.onebuilding.org/WMO_Region_4_North_and_Central_America/CAN_Canada/MB_Manitoba/CAN_MB_Churchill.AP.716180_TMYx.2009-2023.zip</v>
      </c>
    </row>
    <row r="2210" spans="1:10" x14ac:dyDescent="0.25">
      <c r="A2210" t="s">
        <v>6</v>
      </c>
      <c r="B2210" t="s">
        <v>94</v>
      </c>
      <c r="C2210" t="s">
        <v>1113</v>
      </c>
      <c r="D2210">
        <v>716180</v>
      </c>
      <c r="E2210" t="s">
        <v>10</v>
      </c>
      <c r="F2210">
        <v>58.74</v>
      </c>
      <c r="G2210">
        <v>-94.07</v>
      </c>
      <c r="H2210">
        <v>-6</v>
      </c>
      <c r="I2210">
        <v>29.3</v>
      </c>
      <c r="J2210" t="str">
        <f>HYPERLINK("https://climate.onebuilding.org/WMO_Region_4_North_and_Central_America/CAN_Canada/MB_Manitoba/CAN_MB_Churchill.AP.716180_TMYx.zip")</f>
        <v>https://climate.onebuilding.org/WMO_Region_4_North_and_Central_America/CAN_Canada/MB_Manitoba/CAN_MB_Churchill.AP.716180_TMYx.zip</v>
      </c>
    </row>
    <row r="2211" spans="1:10" x14ac:dyDescent="0.25">
      <c r="A2211" t="s">
        <v>6</v>
      </c>
      <c r="B2211" t="s">
        <v>14</v>
      </c>
      <c r="C2211" t="s">
        <v>1115</v>
      </c>
      <c r="D2211">
        <v>716190</v>
      </c>
      <c r="E2211" t="s">
        <v>1116</v>
      </c>
      <c r="F2211">
        <v>48</v>
      </c>
      <c r="G2211">
        <v>-65.316999999999993</v>
      </c>
      <c r="H2211">
        <v>-5</v>
      </c>
      <c r="I2211">
        <v>46</v>
      </c>
      <c r="J2211" t="str">
        <f>HYPERLINK("https://climate.onebuilding.org/WMO_Region_4_North_and_Central_America/CAN_Canada/QC_Quebec/CAN_QC_New.Carlisle.716190_TMYx.2004-2018.zip")</f>
        <v>https://climate.onebuilding.org/WMO_Region_4_North_and_Central_America/CAN_Canada/QC_Quebec/CAN_QC_New.Carlisle.716190_TMYx.2004-2018.zip</v>
      </c>
    </row>
    <row r="2212" spans="1:10" x14ac:dyDescent="0.25">
      <c r="A2212" t="s">
        <v>6</v>
      </c>
      <c r="B2212" t="s">
        <v>14</v>
      </c>
      <c r="C2212" t="s">
        <v>1115</v>
      </c>
      <c r="D2212">
        <v>716190</v>
      </c>
      <c r="E2212" t="s">
        <v>10</v>
      </c>
      <c r="F2212">
        <v>48.011940000000003</v>
      </c>
      <c r="G2212">
        <v>-65.331670000000003</v>
      </c>
      <c r="H2212">
        <v>-5</v>
      </c>
      <c r="I2212">
        <v>46</v>
      </c>
      <c r="J2212" t="str">
        <f>HYPERLINK("https://climate.onebuilding.org/WMO_Region_4_North_and_Central_America/CAN_Canada/QC_Quebec/CAN_QC_New.Carlisle.716190_TMYx.2007-2021.zip")</f>
        <v>https://climate.onebuilding.org/WMO_Region_4_North_and_Central_America/CAN_Canada/QC_Quebec/CAN_QC_New.Carlisle.716190_TMYx.2007-2021.zip</v>
      </c>
    </row>
    <row r="2213" spans="1:10" x14ac:dyDescent="0.25">
      <c r="A2213" t="s">
        <v>6</v>
      </c>
      <c r="B2213" t="s">
        <v>14</v>
      </c>
      <c r="C2213" t="s">
        <v>1115</v>
      </c>
      <c r="D2213">
        <v>716190</v>
      </c>
      <c r="E2213" t="s">
        <v>10</v>
      </c>
      <c r="F2213">
        <v>48.011940000000003</v>
      </c>
      <c r="G2213">
        <v>-65.331670000000003</v>
      </c>
      <c r="H2213">
        <v>-5</v>
      </c>
      <c r="I2213">
        <v>46</v>
      </c>
      <c r="J2213" t="str">
        <f>HYPERLINK("https://climate.onebuilding.org/WMO_Region_4_North_and_Central_America/CAN_Canada/QC_Quebec/CAN_QC_New.Carlisle.716190_TMYx.2009-2023.zip")</f>
        <v>https://climate.onebuilding.org/WMO_Region_4_North_and_Central_America/CAN_Canada/QC_Quebec/CAN_QC_New.Carlisle.716190_TMYx.2009-2023.zip</v>
      </c>
    </row>
    <row r="2214" spans="1:10" x14ac:dyDescent="0.25">
      <c r="A2214" t="s">
        <v>6</v>
      </c>
      <c r="B2214" t="s">
        <v>14</v>
      </c>
      <c r="C2214" t="s">
        <v>1115</v>
      </c>
      <c r="D2214">
        <v>716190</v>
      </c>
      <c r="E2214" t="s">
        <v>10</v>
      </c>
      <c r="F2214">
        <v>48.011940000000003</v>
      </c>
      <c r="G2214">
        <v>-65.331670000000003</v>
      </c>
      <c r="H2214">
        <v>-5</v>
      </c>
      <c r="I2214">
        <v>46</v>
      </c>
      <c r="J2214" t="str">
        <f>HYPERLINK("https://climate.onebuilding.org/WMO_Region_4_North_and_Central_America/CAN_Canada/QC_Quebec/CAN_QC_New.Carlisle.716190_TMYx.zip")</f>
        <v>https://climate.onebuilding.org/WMO_Region_4_North_and_Central_America/CAN_Canada/QC_Quebec/CAN_QC_New.Carlisle.716190_TMYx.zip</v>
      </c>
    </row>
    <row r="2215" spans="1:10" x14ac:dyDescent="0.25">
      <c r="A2215" t="s">
        <v>6</v>
      </c>
      <c r="B2215" t="s">
        <v>130</v>
      </c>
      <c r="C2215" t="s">
        <v>1117</v>
      </c>
      <c r="D2215">
        <v>716210</v>
      </c>
      <c r="E2215" t="s">
        <v>1118</v>
      </c>
      <c r="F2215">
        <v>44.116700000000002</v>
      </c>
      <c r="G2215">
        <v>-77.533299999999997</v>
      </c>
      <c r="H2215">
        <v>-5</v>
      </c>
      <c r="I2215">
        <v>86.3</v>
      </c>
      <c r="J2215" t="str">
        <f>HYPERLINK("https://climate.onebuilding.org/WMO_Region_4_North_and_Central_America/CAN_Canada/ON_Ontario/CAN_ON_CFB.Trenton.716210_TMYx.2004-2018.zip")</f>
        <v>https://climate.onebuilding.org/WMO_Region_4_North_and_Central_America/CAN_Canada/ON_Ontario/CAN_ON_CFB.Trenton.716210_TMYx.2004-2018.zip</v>
      </c>
    </row>
    <row r="2216" spans="1:10" x14ac:dyDescent="0.25">
      <c r="A2216" t="s">
        <v>6</v>
      </c>
      <c r="B2216" t="s">
        <v>130</v>
      </c>
      <c r="C2216" t="s">
        <v>1117</v>
      </c>
      <c r="D2216">
        <v>716210</v>
      </c>
      <c r="E2216" t="s">
        <v>10</v>
      </c>
      <c r="F2216">
        <v>44.117800000000003</v>
      </c>
      <c r="G2216">
        <v>-77.523799999999994</v>
      </c>
      <c r="H2216">
        <v>-5</v>
      </c>
      <c r="I2216">
        <v>86.3</v>
      </c>
      <c r="J2216" t="str">
        <f>HYPERLINK("https://climate.onebuilding.org/WMO_Region_4_North_and_Central_America/CAN_Canada/ON_Ontario/CAN_ON_CFB.Trenton.716210_TMYx.2007-2021.zip")</f>
        <v>https://climate.onebuilding.org/WMO_Region_4_North_and_Central_America/CAN_Canada/ON_Ontario/CAN_ON_CFB.Trenton.716210_TMYx.2007-2021.zip</v>
      </c>
    </row>
    <row r="2217" spans="1:10" x14ac:dyDescent="0.25">
      <c r="A2217" t="s">
        <v>6</v>
      </c>
      <c r="B2217" t="s">
        <v>130</v>
      </c>
      <c r="C2217" t="s">
        <v>1117</v>
      </c>
      <c r="D2217">
        <v>716210</v>
      </c>
      <c r="E2217" t="s">
        <v>10</v>
      </c>
      <c r="F2217">
        <v>44.117800000000003</v>
      </c>
      <c r="G2217">
        <v>-77.523799999999994</v>
      </c>
      <c r="H2217">
        <v>-5</v>
      </c>
      <c r="I2217">
        <v>86.3</v>
      </c>
      <c r="J2217" t="str">
        <f>HYPERLINK("https://climate.onebuilding.org/WMO_Region_4_North_and_Central_America/CAN_Canada/ON_Ontario/CAN_ON_CFB.Trenton.716210_TMYx.2009-2023.zip")</f>
        <v>https://climate.onebuilding.org/WMO_Region_4_North_and_Central_America/CAN_Canada/ON_Ontario/CAN_ON_CFB.Trenton.716210_TMYx.2009-2023.zip</v>
      </c>
    </row>
    <row r="2218" spans="1:10" x14ac:dyDescent="0.25">
      <c r="A2218" t="s">
        <v>6</v>
      </c>
      <c r="B2218" t="s">
        <v>130</v>
      </c>
      <c r="C2218" t="s">
        <v>1117</v>
      </c>
      <c r="D2218">
        <v>716210</v>
      </c>
      <c r="E2218" t="s">
        <v>10</v>
      </c>
      <c r="F2218">
        <v>44.117800000000003</v>
      </c>
      <c r="G2218">
        <v>-77.523799999999994</v>
      </c>
      <c r="H2218">
        <v>-5</v>
      </c>
      <c r="I2218">
        <v>86.3</v>
      </c>
      <c r="J2218" t="str">
        <f>HYPERLINK("https://climate.onebuilding.org/WMO_Region_4_North_and_Central_America/CAN_Canada/ON_Ontario/CAN_ON_CFB.Trenton.716210_TMYx.zip")</f>
        <v>https://climate.onebuilding.org/WMO_Region_4_North_and_Central_America/CAN_Canada/ON_Ontario/CAN_ON_CFB.Trenton.716210_TMYx.zip</v>
      </c>
    </row>
    <row r="2219" spans="1:10" x14ac:dyDescent="0.25">
      <c r="A2219" t="s">
        <v>6</v>
      </c>
      <c r="B2219" t="s">
        <v>130</v>
      </c>
      <c r="C2219" t="s">
        <v>1119</v>
      </c>
      <c r="D2219">
        <v>716230</v>
      </c>
      <c r="E2219" t="s">
        <v>1120</v>
      </c>
      <c r="F2219">
        <v>43.033099999999997</v>
      </c>
      <c r="G2219">
        <v>-81.1511</v>
      </c>
      <c r="H2219">
        <v>-5</v>
      </c>
      <c r="I2219">
        <v>278</v>
      </c>
      <c r="J2219" t="str">
        <f>HYPERLINK("https://climate.onebuilding.org/WMO_Region_4_North_and_Central_America/CAN_Canada/ON_Ontario/CAN_ON_London.Intl.AP.CS.716230_TMYx.2004-2018.zip")</f>
        <v>https://climate.onebuilding.org/WMO_Region_4_North_and_Central_America/CAN_Canada/ON_Ontario/CAN_ON_London.Intl.AP.CS.716230_TMYx.2004-2018.zip</v>
      </c>
    </row>
    <row r="2220" spans="1:10" x14ac:dyDescent="0.25">
      <c r="A2220" t="s">
        <v>6</v>
      </c>
      <c r="B2220" t="s">
        <v>130</v>
      </c>
      <c r="C2220" t="s">
        <v>1119</v>
      </c>
      <c r="D2220">
        <v>716230</v>
      </c>
      <c r="E2220" t="s">
        <v>10</v>
      </c>
      <c r="F2220">
        <v>43.026899999999998</v>
      </c>
      <c r="G2220">
        <v>-81.148600000000002</v>
      </c>
      <c r="H2220">
        <v>-5</v>
      </c>
      <c r="I2220">
        <v>278</v>
      </c>
      <c r="J2220" t="str">
        <f>HYPERLINK("https://climate.onebuilding.org/WMO_Region_4_North_and_Central_America/CAN_Canada/ON_Ontario/CAN_ON_London.Intl.AP.CS.716230_TMYx.2007-2021.zip")</f>
        <v>https://climate.onebuilding.org/WMO_Region_4_North_and_Central_America/CAN_Canada/ON_Ontario/CAN_ON_London.Intl.AP.CS.716230_TMYx.2007-2021.zip</v>
      </c>
    </row>
    <row r="2221" spans="1:10" x14ac:dyDescent="0.25">
      <c r="A2221" t="s">
        <v>6</v>
      </c>
      <c r="B2221" t="s">
        <v>130</v>
      </c>
      <c r="C2221" t="s">
        <v>1119</v>
      </c>
      <c r="D2221">
        <v>716230</v>
      </c>
      <c r="E2221" t="s">
        <v>10</v>
      </c>
      <c r="F2221">
        <v>43.026899999999998</v>
      </c>
      <c r="G2221">
        <v>-81.148600000000002</v>
      </c>
      <c r="H2221">
        <v>-5</v>
      </c>
      <c r="I2221">
        <v>278</v>
      </c>
      <c r="J2221" t="str">
        <f>HYPERLINK("https://climate.onebuilding.org/WMO_Region_4_North_and_Central_America/CAN_Canada/ON_Ontario/CAN_ON_London.Intl.AP.CS.716230_TMYx.2009-2023.zip")</f>
        <v>https://climate.onebuilding.org/WMO_Region_4_North_and_Central_America/CAN_Canada/ON_Ontario/CAN_ON_London.Intl.AP.CS.716230_TMYx.2009-2023.zip</v>
      </c>
    </row>
    <row r="2222" spans="1:10" x14ac:dyDescent="0.25">
      <c r="A2222" t="s">
        <v>6</v>
      </c>
      <c r="B2222" t="s">
        <v>130</v>
      </c>
      <c r="C2222" t="s">
        <v>1119</v>
      </c>
      <c r="D2222">
        <v>716230</v>
      </c>
      <c r="E2222" t="s">
        <v>10</v>
      </c>
      <c r="F2222">
        <v>43.026899999999998</v>
      </c>
      <c r="G2222">
        <v>-81.148600000000002</v>
      </c>
      <c r="H2222">
        <v>-5</v>
      </c>
      <c r="I2222">
        <v>278</v>
      </c>
      <c r="J2222" t="str">
        <f>HYPERLINK("https://climate.onebuilding.org/WMO_Region_4_North_and_Central_America/CAN_Canada/ON_Ontario/CAN_ON_London.Intl.AP.CS.716230_TMYx.zip")</f>
        <v>https://climate.onebuilding.org/WMO_Region_4_North_and_Central_America/CAN_Canada/ON_Ontario/CAN_ON_London.Intl.AP.CS.716230_TMYx.zip</v>
      </c>
    </row>
    <row r="2223" spans="1:10" x14ac:dyDescent="0.25">
      <c r="A2223" t="s">
        <v>6</v>
      </c>
      <c r="B2223" t="s">
        <v>130</v>
      </c>
      <c r="C2223" t="s">
        <v>1121</v>
      </c>
      <c r="D2223">
        <v>716240</v>
      </c>
      <c r="E2223" t="s">
        <v>1122</v>
      </c>
      <c r="F2223">
        <v>43.677199999999999</v>
      </c>
      <c r="G2223">
        <v>-79.630600000000001</v>
      </c>
      <c r="H2223">
        <v>-5</v>
      </c>
      <c r="I2223">
        <v>173.4</v>
      </c>
      <c r="J2223" t="str">
        <f>HYPERLINK("https://climate.onebuilding.org/WMO_Region_4_North_and_Central_America/CAN_Canada/ON_Ontario/CAN_ON_Toronto-Pearson.Intl.AP.716240_TMYx.2004-2018.zip")</f>
        <v>https://climate.onebuilding.org/WMO_Region_4_North_and_Central_America/CAN_Canada/ON_Ontario/CAN_ON_Toronto-Pearson.Intl.AP.716240_TMYx.2004-2018.zip</v>
      </c>
    </row>
    <row r="2224" spans="1:10" x14ac:dyDescent="0.25">
      <c r="A2224" t="s">
        <v>6</v>
      </c>
      <c r="B2224" t="s">
        <v>130</v>
      </c>
      <c r="C2224" t="s">
        <v>1121</v>
      </c>
      <c r="D2224">
        <v>716240</v>
      </c>
      <c r="E2224" t="s">
        <v>10</v>
      </c>
      <c r="F2224">
        <v>43.665799999999997</v>
      </c>
      <c r="G2224">
        <v>-79.606200000000001</v>
      </c>
      <c r="H2224">
        <v>-5</v>
      </c>
      <c r="I2224">
        <v>173.4</v>
      </c>
      <c r="J2224" t="str">
        <f>HYPERLINK("https://climate.onebuilding.org/WMO_Region_4_North_and_Central_America/CAN_Canada/ON_Ontario/CAN_ON_Toronto-Pearson.Intl.AP.716240_TMYx.2007-2021.zip")</f>
        <v>https://climate.onebuilding.org/WMO_Region_4_North_and_Central_America/CAN_Canada/ON_Ontario/CAN_ON_Toronto-Pearson.Intl.AP.716240_TMYx.2007-2021.zip</v>
      </c>
    </row>
    <row r="2225" spans="1:10" x14ac:dyDescent="0.25">
      <c r="A2225" t="s">
        <v>6</v>
      </c>
      <c r="B2225" t="s">
        <v>130</v>
      </c>
      <c r="C2225" t="s">
        <v>1121</v>
      </c>
      <c r="D2225">
        <v>716240</v>
      </c>
      <c r="E2225" t="s">
        <v>10</v>
      </c>
      <c r="F2225">
        <v>43.665799999999997</v>
      </c>
      <c r="G2225">
        <v>-79.606200000000001</v>
      </c>
      <c r="H2225">
        <v>-5</v>
      </c>
      <c r="I2225">
        <v>173.4</v>
      </c>
      <c r="J2225" t="str">
        <f>HYPERLINK("https://climate.onebuilding.org/WMO_Region_4_North_and_Central_America/CAN_Canada/ON_Ontario/CAN_ON_Toronto-Pearson.Intl.AP.716240_TMYx.2009-2023.zip")</f>
        <v>https://climate.onebuilding.org/WMO_Region_4_North_and_Central_America/CAN_Canada/ON_Ontario/CAN_ON_Toronto-Pearson.Intl.AP.716240_TMYx.2009-2023.zip</v>
      </c>
    </row>
    <row r="2226" spans="1:10" x14ac:dyDescent="0.25">
      <c r="A2226" t="s">
        <v>6</v>
      </c>
      <c r="B2226" t="s">
        <v>130</v>
      </c>
      <c r="C2226" t="s">
        <v>1121</v>
      </c>
      <c r="D2226">
        <v>716240</v>
      </c>
      <c r="E2226" t="s">
        <v>10</v>
      </c>
      <c r="F2226">
        <v>43.665799999999997</v>
      </c>
      <c r="G2226">
        <v>-79.606200000000001</v>
      </c>
      <c r="H2226">
        <v>-5</v>
      </c>
      <c r="I2226">
        <v>173.4</v>
      </c>
      <c r="J2226" t="str">
        <f>HYPERLINK("https://climate.onebuilding.org/WMO_Region_4_North_and_Central_America/CAN_Canada/ON_Ontario/CAN_ON_Toronto-Pearson.Intl.AP.716240_TMYx.zip")</f>
        <v>https://climate.onebuilding.org/WMO_Region_4_North_and_Central_America/CAN_Canada/ON_Ontario/CAN_ON_Toronto-Pearson.Intl.AP.716240_TMYx.zip</v>
      </c>
    </row>
    <row r="2227" spans="1:10" x14ac:dyDescent="0.25">
      <c r="A2227" t="s">
        <v>6</v>
      </c>
      <c r="B2227" t="s">
        <v>130</v>
      </c>
      <c r="C2227" t="s">
        <v>1123</v>
      </c>
      <c r="D2227">
        <v>716250</v>
      </c>
      <c r="E2227" t="s">
        <v>1124</v>
      </c>
      <c r="F2227">
        <v>45.95</v>
      </c>
      <c r="G2227">
        <v>-77.316699999999997</v>
      </c>
      <c r="H2227">
        <v>-5</v>
      </c>
      <c r="I2227">
        <v>130.1</v>
      </c>
      <c r="J2227" t="str">
        <f>HYPERLINK("https://climate.onebuilding.org/WMO_Region_4_North_and_Central_America/CAN_Canada/ON_Ontario/CAN_ON_Petawawa.AP.716250_TMYx.2004-2018.zip")</f>
        <v>https://climate.onebuilding.org/WMO_Region_4_North_and_Central_America/CAN_Canada/ON_Ontario/CAN_ON_Petawawa.AP.716250_TMYx.2004-2018.zip</v>
      </c>
    </row>
    <row r="2228" spans="1:10" x14ac:dyDescent="0.25">
      <c r="A2228" t="s">
        <v>6</v>
      </c>
      <c r="B2228" t="s">
        <v>130</v>
      </c>
      <c r="C2228" t="s">
        <v>1123</v>
      </c>
      <c r="D2228">
        <v>716250</v>
      </c>
      <c r="E2228" t="s">
        <v>10</v>
      </c>
      <c r="F2228">
        <v>45.95</v>
      </c>
      <c r="G2228">
        <v>-77.316699999999997</v>
      </c>
      <c r="H2228">
        <v>-5</v>
      </c>
      <c r="I2228">
        <v>130.1</v>
      </c>
      <c r="J2228" t="str">
        <f>HYPERLINK("https://climate.onebuilding.org/WMO_Region_4_North_and_Central_America/CAN_Canada/ON_Ontario/CAN_ON_Petawawa.AP.716250_TMYx.2007-2021.zip")</f>
        <v>https://climate.onebuilding.org/WMO_Region_4_North_and_Central_America/CAN_Canada/ON_Ontario/CAN_ON_Petawawa.AP.716250_TMYx.2007-2021.zip</v>
      </c>
    </row>
    <row r="2229" spans="1:10" x14ac:dyDescent="0.25">
      <c r="A2229" t="s">
        <v>6</v>
      </c>
      <c r="B2229" t="s">
        <v>130</v>
      </c>
      <c r="C2229" t="s">
        <v>1123</v>
      </c>
      <c r="D2229">
        <v>716250</v>
      </c>
      <c r="E2229" t="s">
        <v>10</v>
      </c>
      <c r="F2229">
        <v>45.95</v>
      </c>
      <c r="G2229">
        <v>-77.316699999999997</v>
      </c>
      <c r="H2229">
        <v>-5</v>
      </c>
      <c r="I2229">
        <v>130.1</v>
      </c>
      <c r="J2229" t="str">
        <f>HYPERLINK("https://climate.onebuilding.org/WMO_Region_4_North_and_Central_America/CAN_Canada/ON_Ontario/CAN_ON_Petawawa.AP.716250_TMYx.2009-2023.zip")</f>
        <v>https://climate.onebuilding.org/WMO_Region_4_North_and_Central_America/CAN_Canada/ON_Ontario/CAN_ON_Petawawa.AP.716250_TMYx.2009-2023.zip</v>
      </c>
    </row>
    <row r="2230" spans="1:10" x14ac:dyDescent="0.25">
      <c r="A2230" t="s">
        <v>6</v>
      </c>
      <c r="B2230" t="s">
        <v>130</v>
      </c>
      <c r="C2230" t="s">
        <v>1123</v>
      </c>
      <c r="D2230">
        <v>716250</v>
      </c>
      <c r="E2230" t="s">
        <v>10</v>
      </c>
      <c r="F2230">
        <v>45.95</v>
      </c>
      <c r="G2230">
        <v>-77.316699999999997</v>
      </c>
      <c r="H2230">
        <v>-5</v>
      </c>
      <c r="I2230">
        <v>130.1</v>
      </c>
      <c r="J2230" t="str">
        <f>HYPERLINK("https://climate.onebuilding.org/WMO_Region_4_North_and_Central_America/CAN_Canada/ON_Ontario/CAN_ON_Petawawa.AP.716250_TMYx.zip")</f>
        <v>https://climate.onebuilding.org/WMO_Region_4_North_and_Central_America/CAN_Canada/ON_Ontario/CAN_ON_Petawawa.AP.716250_TMYx.zip</v>
      </c>
    </row>
    <row r="2231" spans="1:10" x14ac:dyDescent="0.25">
      <c r="A2231" t="s">
        <v>6</v>
      </c>
      <c r="B2231" t="s">
        <v>130</v>
      </c>
      <c r="C2231" t="s">
        <v>1125</v>
      </c>
      <c r="D2231">
        <v>716251</v>
      </c>
      <c r="E2231" t="s">
        <v>10</v>
      </c>
      <c r="F2231">
        <v>44.317</v>
      </c>
      <c r="G2231">
        <v>-77.632999999999996</v>
      </c>
      <c r="H2231">
        <v>-5</v>
      </c>
      <c r="I2231">
        <v>139</v>
      </c>
      <c r="J2231" t="str">
        <f>HYPERLINK("https://climate.onebuilding.org/WMO_Region_4_North_and_Central_America/CAN_Canada/ON_Ontario/CAN_ON_Trent.Hills.716251_TMYx.zip")</f>
        <v>https://climate.onebuilding.org/WMO_Region_4_North_and_Central_America/CAN_Canada/ON_Ontario/CAN_ON_Trent.Hills.716251_TMYx.zip</v>
      </c>
    </row>
    <row r="2232" spans="1:10" x14ac:dyDescent="0.25">
      <c r="A2232" t="s">
        <v>6</v>
      </c>
      <c r="B2232" t="s">
        <v>14</v>
      </c>
      <c r="C2232" t="s">
        <v>1126</v>
      </c>
      <c r="D2232">
        <v>716270</v>
      </c>
      <c r="E2232" t="s">
        <v>1127</v>
      </c>
      <c r="F2232">
        <v>45.466700000000003</v>
      </c>
      <c r="G2232">
        <v>-73.75</v>
      </c>
      <c r="H2232">
        <v>-5</v>
      </c>
      <c r="I2232">
        <v>36</v>
      </c>
      <c r="J2232" t="str">
        <f>HYPERLINK("https://climate.onebuilding.org/WMO_Region_4_North_and_Central_America/CAN_Canada/QC_Quebec/CAN_QC_Montreal-Trudeau.Intl.AP.716270_TMYx.2004-2018.zip")</f>
        <v>https://climate.onebuilding.org/WMO_Region_4_North_and_Central_America/CAN_Canada/QC_Quebec/CAN_QC_Montreal-Trudeau.Intl.AP.716270_TMYx.2004-2018.zip</v>
      </c>
    </row>
    <row r="2233" spans="1:10" x14ac:dyDescent="0.25">
      <c r="A2233" t="s">
        <v>6</v>
      </c>
      <c r="B2233" t="s">
        <v>14</v>
      </c>
      <c r="C2233" t="s">
        <v>1126</v>
      </c>
      <c r="D2233">
        <v>716270</v>
      </c>
      <c r="E2233" t="s">
        <v>10</v>
      </c>
      <c r="F2233">
        <v>45.466700000000003</v>
      </c>
      <c r="G2233">
        <v>-73.75</v>
      </c>
      <c r="H2233">
        <v>-5</v>
      </c>
      <c r="I2233">
        <v>36</v>
      </c>
      <c r="J2233" t="str">
        <f>HYPERLINK("https://climate.onebuilding.org/WMO_Region_4_North_and_Central_America/CAN_Canada/QC_Quebec/CAN_QC_Montreal-Trudeau.Intl.AP.716270_TMYx.2007-2021.zip")</f>
        <v>https://climate.onebuilding.org/WMO_Region_4_North_and_Central_America/CAN_Canada/QC_Quebec/CAN_QC_Montreal-Trudeau.Intl.AP.716270_TMYx.2007-2021.zip</v>
      </c>
    </row>
    <row r="2234" spans="1:10" x14ac:dyDescent="0.25">
      <c r="A2234" t="s">
        <v>6</v>
      </c>
      <c r="B2234" t="s">
        <v>14</v>
      </c>
      <c r="C2234" t="s">
        <v>1126</v>
      </c>
      <c r="D2234">
        <v>716270</v>
      </c>
      <c r="E2234" t="s">
        <v>10</v>
      </c>
      <c r="F2234">
        <v>45.466700000000003</v>
      </c>
      <c r="G2234">
        <v>-73.75</v>
      </c>
      <c r="H2234">
        <v>-5</v>
      </c>
      <c r="I2234">
        <v>36</v>
      </c>
      <c r="J2234" t="str">
        <f>HYPERLINK("https://climate.onebuilding.org/WMO_Region_4_North_and_Central_America/CAN_Canada/QC_Quebec/CAN_QC_Montreal-Trudeau.Intl.AP.716270_TMYx.2009-2023.zip")</f>
        <v>https://climate.onebuilding.org/WMO_Region_4_North_and_Central_America/CAN_Canada/QC_Quebec/CAN_QC_Montreal-Trudeau.Intl.AP.716270_TMYx.2009-2023.zip</v>
      </c>
    </row>
    <row r="2235" spans="1:10" x14ac:dyDescent="0.25">
      <c r="A2235" t="s">
        <v>6</v>
      </c>
      <c r="B2235" t="s">
        <v>14</v>
      </c>
      <c r="C2235" t="s">
        <v>1126</v>
      </c>
      <c r="D2235">
        <v>716270</v>
      </c>
      <c r="E2235" t="s">
        <v>10</v>
      </c>
      <c r="F2235">
        <v>45.466700000000003</v>
      </c>
      <c r="G2235">
        <v>-73.75</v>
      </c>
      <c r="H2235">
        <v>-5</v>
      </c>
      <c r="I2235">
        <v>36</v>
      </c>
      <c r="J2235" t="str">
        <f>HYPERLINK("https://climate.onebuilding.org/WMO_Region_4_North_and_Central_America/CAN_Canada/QC_Quebec/CAN_QC_Montreal-Trudeau.Intl.AP.716270_TMYx.zip")</f>
        <v>https://climate.onebuilding.org/WMO_Region_4_North_and_Central_America/CAN_Canada/QC_Quebec/CAN_QC_Montreal-Trudeau.Intl.AP.716270_TMYx.zip</v>
      </c>
    </row>
    <row r="2236" spans="1:10" x14ac:dyDescent="0.25">
      <c r="A2236" t="s">
        <v>6</v>
      </c>
      <c r="B2236" t="s">
        <v>14</v>
      </c>
      <c r="C2236" t="s">
        <v>1128</v>
      </c>
      <c r="D2236">
        <v>716279</v>
      </c>
      <c r="E2236" t="s">
        <v>1129</v>
      </c>
      <c r="F2236">
        <v>45.521999999999998</v>
      </c>
      <c r="G2236">
        <v>-75.563999999999993</v>
      </c>
      <c r="H2236">
        <v>-5</v>
      </c>
      <c r="I2236">
        <v>64.3</v>
      </c>
      <c r="J2236" t="str">
        <f>HYPERLINK("https://climate.onebuilding.org/WMO_Region_4_North_and_Central_America/CAN_Canada/QC_Quebec/CAN_QC_Gatineau-Ottawa.Exec.AP.716279_TMYx.2004-2018.zip")</f>
        <v>https://climate.onebuilding.org/WMO_Region_4_North_and_Central_America/CAN_Canada/QC_Quebec/CAN_QC_Gatineau-Ottawa.Exec.AP.716279_TMYx.2004-2018.zip</v>
      </c>
    </row>
    <row r="2237" spans="1:10" x14ac:dyDescent="0.25">
      <c r="A2237" t="s">
        <v>6</v>
      </c>
      <c r="B2237" t="s">
        <v>14</v>
      </c>
      <c r="C2237" t="s">
        <v>1128</v>
      </c>
      <c r="D2237">
        <v>716279</v>
      </c>
      <c r="E2237" t="s">
        <v>10</v>
      </c>
      <c r="F2237">
        <v>45.52</v>
      </c>
      <c r="G2237">
        <v>-75.563000000000002</v>
      </c>
      <c r="H2237">
        <v>-5</v>
      </c>
      <c r="I2237">
        <v>64.3</v>
      </c>
      <c r="J2237" t="str">
        <f>HYPERLINK("https://climate.onebuilding.org/WMO_Region_4_North_and_Central_America/CAN_Canada/QC_Quebec/CAN_QC_Gatineau-Ottawa.Exec.AP.716279_TMYx.2007-2021.zip")</f>
        <v>https://climate.onebuilding.org/WMO_Region_4_North_and_Central_America/CAN_Canada/QC_Quebec/CAN_QC_Gatineau-Ottawa.Exec.AP.716279_TMYx.2007-2021.zip</v>
      </c>
    </row>
    <row r="2238" spans="1:10" x14ac:dyDescent="0.25">
      <c r="A2238" t="s">
        <v>6</v>
      </c>
      <c r="B2238" t="s">
        <v>14</v>
      </c>
      <c r="C2238" t="s">
        <v>1128</v>
      </c>
      <c r="D2238">
        <v>716279</v>
      </c>
      <c r="E2238" t="s">
        <v>10</v>
      </c>
      <c r="F2238">
        <v>45.52</v>
      </c>
      <c r="G2238">
        <v>-75.563000000000002</v>
      </c>
      <c r="H2238">
        <v>-5</v>
      </c>
      <c r="I2238">
        <v>64.3</v>
      </c>
      <c r="J2238" t="str">
        <f>HYPERLINK("https://climate.onebuilding.org/WMO_Region_4_North_and_Central_America/CAN_Canada/QC_Quebec/CAN_QC_Gatineau-Ottawa.Exec.AP.716279_TMYx.2009-2023.zip")</f>
        <v>https://climate.onebuilding.org/WMO_Region_4_North_and_Central_America/CAN_Canada/QC_Quebec/CAN_QC_Gatineau-Ottawa.Exec.AP.716279_TMYx.2009-2023.zip</v>
      </c>
    </row>
    <row r="2239" spans="1:10" x14ac:dyDescent="0.25">
      <c r="A2239" t="s">
        <v>6</v>
      </c>
      <c r="B2239" t="s">
        <v>14</v>
      </c>
      <c r="C2239" t="s">
        <v>1128</v>
      </c>
      <c r="D2239">
        <v>716279</v>
      </c>
      <c r="E2239" t="s">
        <v>10</v>
      </c>
      <c r="F2239">
        <v>45.52</v>
      </c>
      <c r="G2239">
        <v>-75.563000000000002</v>
      </c>
      <c r="H2239">
        <v>-5</v>
      </c>
      <c r="I2239">
        <v>64.3</v>
      </c>
      <c r="J2239" t="str">
        <f>HYPERLINK("https://climate.onebuilding.org/WMO_Region_4_North_and_Central_America/CAN_Canada/QC_Quebec/CAN_QC_Gatineau-Ottawa.Exec.AP.716279_TMYx.zip")</f>
        <v>https://climate.onebuilding.org/WMO_Region_4_North_and_Central_America/CAN_Canada/QC_Quebec/CAN_QC_Gatineau-Ottawa.Exec.AP.716279_TMYx.zip</v>
      </c>
    </row>
    <row r="2240" spans="1:10" x14ac:dyDescent="0.25">
      <c r="A2240" t="s">
        <v>6</v>
      </c>
      <c r="B2240" t="s">
        <v>130</v>
      </c>
      <c r="C2240" t="s">
        <v>1130</v>
      </c>
      <c r="D2240">
        <v>716280</v>
      </c>
      <c r="E2240" t="s">
        <v>1131</v>
      </c>
      <c r="F2240">
        <v>45.322499999999998</v>
      </c>
      <c r="G2240">
        <v>-75.669200000000004</v>
      </c>
      <c r="H2240">
        <v>-5</v>
      </c>
      <c r="I2240">
        <v>114</v>
      </c>
      <c r="J2240" t="str">
        <f>HYPERLINK("https://climate.onebuilding.org/WMO_Region_4_North_and_Central_America/CAN_Canada/ON_Ontario/CAN_ON_Ottawa-Macdonald-Cartier.Intl.AP.716280_TMYx.2004-2018.zip")</f>
        <v>https://climate.onebuilding.org/WMO_Region_4_North_and_Central_America/CAN_Canada/ON_Ontario/CAN_ON_Ottawa-Macdonald-Cartier.Intl.AP.716280_TMYx.2004-2018.zip</v>
      </c>
    </row>
    <row r="2241" spans="1:10" x14ac:dyDescent="0.25">
      <c r="A2241" t="s">
        <v>6</v>
      </c>
      <c r="B2241" t="s">
        <v>130</v>
      </c>
      <c r="C2241" t="s">
        <v>1130</v>
      </c>
      <c r="D2241">
        <v>716280</v>
      </c>
      <c r="E2241" t="s">
        <v>10</v>
      </c>
      <c r="F2241">
        <v>45.317100000000003</v>
      </c>
      <c r="G2241">
        <v>-75.673900000000003</v>
      </c>
      <c r="H2241">
        <v>-5</v>
      </c>
      <c r="I2241">
        <v>114</v>
      </c>
      <c r="J2241" t="str">
        <f>HYPERLINK("https://climate.onebuilding.org/WMO_Region_4_North_and_Central_America/CAN_Canada/ON_Ontario/CAN_ON_Ottawa-Macdonald-Cartier.Intl.AP.716280_TMYx.2007-2021.zip")</f>
        <v>https://climate.onebuilding.org/WMO_Region_4_North_and_Central_America/CAN_Canada/ON_Ontario/CAN_ON_Ottawa-Macdonald-Cartier.Intl.AP.716280_TMYx.2007-2021.zip</v>
      </c>
    </row>
    <row r="2242" spans="1:10" x14ac:dyDescent="0.25">
      <c r="A2242" t="s">
        <v>6</v>
      </c>
      <c r="B2242" t="s">
        <v>130</v>
      </c>
      <c r="C2242" t="s">
        <v>1130</v>
      </c>
      <c r="D2242">
        <v>716280</v>
      </c>
      <c r="E2242" t="s">
        <v>10</v>
      </c>
      <c r="F2242">
        <v>45.317100000000003</v>
      </c>
      <c r="G2242">
        <v>-75.673900000000003</v>
      </c>
      <c r="H2242">
        <v>-5</v>
      </c>
      <c r="I2242">
        <v>114</v>
      </c>
      <c r="J2242" t="str">
        <f>HYPERLINK("https://climate.onebuilding.org/WMO_Region_4_North_and_Central_America/CAN_Canada/ON_Ontario/CAN_ON_Ottawa-Macdonald-Cartier.Intl.AP.716280_TMYx.2009-2023.zip")</f>
        <v>https://climate.onebuilding.org/WMO_Region_4_North_and_Central_America/CAN_Canada/ON_Ontario/CAN_ON_Ottawa-Macdonald-Cartier.Intl.AP.716280_TMYx.2009-2023.zip</v>
      </c>
    </row>
    <row r="2243" spans="1:10" x14ac:dyDescent="0.25">
      <c r="A2243" t="s">
        <v>6</v>
      </c>
      <c r="B2243" t="s">
        <v>130</v>
      </c>
      <c r="C2243" t="s">
        <v>1130</v>
      </c>
      <c r="D2243">
        <v>716280</v>
      </c>
      <c r="E2243" t="s">
        <v>10</v>
      </c>
      <c r="F2243">
        <v>45.317100000000003</v>
      </c>
      <c r="G2243">
        <v>-75.673900000000003</v>
      </c>
      <c r="H2243">
        <v>-5</v>
      </c>
      <c r="I2243">
        <v>114</v>
      </c>
      <c r="J2243" t="str">
        <f>HYPERLINK("https://climate.onebuilding.org/WMO_Region_4_North_and_Central_America/CAN_Canada/ON_Ontario/CAN_ON_Ottawa-Macdonald-Cartier.Intl.AP.716280_TMYx.zip")</f>
        <v>https://climate.onebuilding.org/WMO_Region_4_North_and_Central_America/CAN_Canada/ON_Ontario/CAN_ON_Ottawa-Macdonald-Cartier.Intl.AP.716280_TMYx.zip</v>
      </c>
    </row>
    <row r="2244" spans="1:10" x14ac:dyDescent="0.25">
      <c r="A2244" t="s">
        <v>6</v>
      </c>
      <c r="B2244" t="s">
        <v>42</v>
      </c>
      <c r="C2244" t="s">
        <v>1132</v>
      </c>
      <c r="D2244">
        <v>716290</v>
      </c>
      <c r="E2244" t="s">
        <v>1133</v>
      </c>
      <c r="F2244">
        <v>72.017799999999994</v>
      </c>
      <c r="G2244">
        <v>-94.197800000000001</v>
      </c>
      <c r="H2244">
        <v>-6</v>
      </c>
      <c r="I2244">
        <v>10</v>
      </c>
      <c r="J2244" t="str">
        <f>HYPERLINK("https://climate.onebuilding.org/WMO_Region_4_North_and_Central_America/CAN_Canada/NU_Nunavut/CAN_NU_Fort.Ross.716290_TMYx.2004-2018.zip")</f>
        <v>https://climate.onebuilding.org/WMO_Region_4_North_and_Central_America/CAN_Canada/NU_Nunavut/CAN_NU_Fort.Ross.716290_TMYx.2004-2018.zip</v>
      </c>
    </row>
    <row r="2245" spans="1:10" x14ac:dyDescent="0.25">
      <c r="A2245" t="s">
        <v>6</v>
      </c>
      <c r="B2245" t="s">
        <v>42</v>
      </c>
      <c r="C2245" t="s">
        <v>1132</v>
      </c>
      <c r="D2245">
        <v>716290</v>
      </c>
      <c r="E2245" t="s">
        <v>10</v>
      </c>
      <c r="F2245">
        <v>72.017799999999994</v>
      </c>
      <c r="G2245">
        <v>-94.197800000000001</v>
      </c>
      <c r="H2245">
        <v>-6</v>
      </c>
      <c r="I2245">
        <v>10</v>
      </c>
      <c r="J2245" t="str">
        <f>HYPERLINK("https://climate.onebuilding.org/WMO_Region_4_North_and_Central_America/CAN_Canada/NU_Nunavut/CAN_NU_Fort.Ross.716290_TMYx.2007-2021.zip")</f>
        <v>https://climate.onebuilding.org/WMO_Region_4_North_and_Central_America/CAN_Canada/NU_Nunavut/CAN_NU_Fort.Ross.716290_TMYx.2007-2021.zip</v>
      </c>
    </row>
    <row r="2246" spans="1:10" x14ac:dyDescent="0.25">
      <c r="A2246" t="s">
        <v>6</v>
      </c>
      <c r="B2246" t="s">
        <v>42</v>
      </c>
      <c r="C2246" t="s">
        <v>1132</v>
      </c>
      <c r="D2246">
        <v>716290</v>
      </c>
      <c r="E2246" t="s">
        <v>10</v>
      </c>
      <c r="F2246">
        <v>72.017799999999994</v>
      </c>
      <c r="G2246">
        <v>-94.197800000000001</v>
      </c>
      <c r="H2246">
        <v>-6</v>
      </c>
      <c r="I2246">
        <v>10</v>
      </c>
      <c r="J2246" t="str">
        <f>HYPERLINK("https://climate.onebuilding.org/WMO_Region_4_North_and_Central_America/CAN_Canada/NU_Nunavut/CAN_NU_Fort.Ross.716290_TMYx.2009-2023.zip")</f>
        <v>https://climate.onebuilding.org/WMO_Region_4_North_and_Central_America/CAN_Canada/NU_Nunavut/CAN_NU_Fort.Ross.716290_TMYx.2009-2023.zip</v>
      </c>
    </row>
    <row r="2247" spans="1:10" x14ac:dyDescent="0.25">
      <c r="A2247" t="s">
        <v>6</v>
      </c>
      <c r="B2247" t="s">
        <v>42</v>
      </c>
      <c r="C2247" t="s">
        <v>1132</v>
      </c>
      <c r="D2247">
        <v>716290</v>
      </c>
      <c r="E2247" t="s">
        <v>10</v>
      </c>
      <c r="F2247">
        <v>72.017799999999994</v>
      </c>
      <c r="G2247">
        <v>-94.197800000000001</v>
      </c>
      <c r="H2247">
        <v>-6</v>
      </c>
      <c r="I2247">
        <v>10</v>
      </c>
      <c r="J2247" t="str">
        <f>HYPERLINK("https://climate.onebuilding.org/WMO_Region_4_North_and_Central_America/CAN_Canada/NU_Nunavut/CAN_NU_Fort.Ross.716290_TMYx.zip")</f>
        <v>https://climate.onebuilding.org/WMO_Region_4_North_and_Central_America/CAN_Canada/NU_Nunavut/CAN_NU_Fort.Ross.716290_TMYx.zip</v>
      </c>
    </row>
    <row r="2248" spans="1:10" x14ac:dyDescent="0.25">
      <c r="A2248" t="s">
        <v>6</v>
      </c>
      <c r="B2248" t="s">
        <v>130</v>
      </c>
      <c r="C2248" t="s">
        <v>1134</v>
      </c>
      <c r="D2248">
        <v>716310</v>
      </c>
      <c r="E2248" t="s">
        <v>1135</v>
      </c>
      <c r="F2248">
        <v>43.9833</v>
      </c>
      <c r="G2248">
        <v>-80.75</v>
      </c>
      <c r="H2248">
        <v>-5</v>
      </c>
      <c r="I2248">
        <v>414.5</v>
      </c>
      <c r="J2248" t="str">
        <f>HYPERLINK("https://climate.onebuilding.org/WMO_Region_4_North_and_Central_America/CAN_Canada/ON_Ontario/CAN_ON_Mount.Forest.716310_TMYx.2004-2018.zip")</f>
        <v>https://climate.onebuilding.org/WMO_Region_4_North_and_Central_America/CAN_Canada/ON_Ontario/CAN_ON_Mount.Forest.716310_TMYx.2004-2018.zip</v>
      </c>
    </row>
    <row r="2249" spans="1:10" x14ac:dyDescent="0.25">
      <c r="A2249" t="s">
        <v>6</v>
      </c>
      <c r="B2249" t="s">
        <v>130</v>
      </c>
      <c r="C2249" t="s">
        <v>1134</v>
      </c>
      <c r="D2249">
        <v>716310</v>
      </c>
      <c r="E2249" t="s">
        <v>10</v>
      </c>
      <c r="F2249">
        <v>43.988999999999997</v>
      </c>
      <c r="G2249">
        <v>-80.745000000000005</v>
      </c>
      <c r="H2249">
        <v>-5</v>
      </c>
      <c r="I2249">
        <v>414.5</v>
      </c>
      <c r="J2249" t="str">
        <f>HYPERLINK("https://climate.onebuilding.org/WMO_Region_4_North_and_Central_America/CAN_Canada/ON_Ontario/CAN_ON_Mount.Forest.716310_TMYx.2007-2021.zip")</f>
        <v>https://climate.onebuilding.org/WMO_Region_4_North_and_Central_America/CAN_Canada/ON_Ontario/CAN_ON_Mount.Forest.716310_TMYx.2007-2021.zip</v>
      </c>
    </row>
    <row r="2250" spans="1:10" x14ac:dyDescent="0.25">
      <c r="A2250" t="s">
        <v>6</v>
      </c>
      <c r="B2250" t="s">
        <v>130</v>
      </c>
      <c r="C2250" t="s">
        <v>1134</v>
      </c>
      <c r="D2250">
        <v>716310</v>
      </c>
      <c r="E2250" t="s">
        <v>10</v>
      </c>
      <c r="F2250">
        <v>43.988999999999997</v>
      </c>
      <c r="G2250">
        <v>-80.745000000000005</v>
      </c>
      <c r="H2250">
        <v>-5</v>
      </c>
      <c r="I2250">
        <v>414.5</v>
      </c>
      <c r="J2250" t="str">
        <f>HYPERLINK("https://climate.onebuilding.org/WMO_Region_4_North_and_Central_America/CAN_Canada/ON_Ontario/CAN_ON_Mount.Forest.716310_TMYx.2009-2023.zip")</f>
        <v>https://climate.onebuilding.org/WMO_Region_4_North_and_Central_America/CAN_Canada/ON_Ontario/CAN_ON_Mount.Forest.716310_TMYx.2009-2023.zip</v>
      </c>
    </row>
    <row r="2251" spans="1:10" x14ac:dyDescent="0.25">
      <c r="A2251" t="s">
        <v>6</v>
      </c>
      <c r="B2251" t="s">
        <v>130</v>
      </c>
      <c r="C2251" t="s">
        <v>1134</v>
      </c>
      <c r="D2251">
        <v>716310</v>
      </c>
      <c r="E2251" t="s">
        <v>10</v>
      </c>
      <c r="F2251">
        <v>43.988999999999997</v>
      </c>
      <c r="G2251">
        <v>-80.745000000000005</v>
      </c>
      <c r="H2251">
        <v>-5</v>
      </c>
      <c r="I2251">
        <v>414.5</v>
      </c>
      <c r="J2251" t="str">
        <f>HYPERLINK("https://climate.onebuilding.org/WMO_Region_4_North_and_Central_America/CAN_Canada/ON_Ontario/CAN_ON_Mount.Forest.716310_TMYx.zip")</f>
        <v>https://climate.onebuilding.org/WMO_Region_4_North_and_Central_America/CAN_Canada/ON_Ontario/CAN_ON_Mount.Forest.716310_TMYx.zip</v>
      </c>
    </row>
    <row r="2252" spans="1:10" x14ac:dyDescent="0.25">
      <c r="A2252" t="s">
        <v>6</v>
      </c>
      <c r="B2252" t="s">
        <v>94</v>
      </c>
      <c r="C2252" t="s">
        <v>1136</v>
      </c>
      <c r="D2252">
        <v>716320</v>
      </c>
      <c r="E2252" t="s">
        <v>10</v>
      </c>
      <c r="F2252">
        <v>56.85</v>
      </c>
      <c r="G2252">
        <v>-101.0667</v>
      </c>
      <c r="H2252">
        <v>-6</v>
      </c>
      <c r="I2252">
        <v>357</v>
      </c>
      <c r="J2252" t="str">
        <f>HYPERLINK("https://climate.onebuilding.org/WMO_Region_4_North_and_Central_America/CAN_Canada/MB_Manitoba/CAN_MB_Lynn.Lake.RCS.716320_TMYx.2007-2021.zip")</f>
        <v>https://climate.onebuilding.org/WMO_Region_4_North_and_Central_America/CAN_Canada/MB_Manitoba/CAN_MB_Lynn.Lake.RCS.716320_TMYx.2007-2021.zip</v>
      </c>
    </row>
    <row r="2253" spans="1:10" x14ac:dyDescent="0.25">
      <c r="A2253" t="s">
        <v>6</v>
      </c>
      <c r="B2253" t="s">
        <v>94</v>
      </c>
      <c r="C2253" t="s">
        <v>1136</v>
      </c>
      <c r="D2253">
        <v>716320</v>
      </c>
      <c r="E2253" t="s">
        <v>10</v>
      </c>
      <c r="F2253">
        <v>56.85</v>
      </c>
      <c r="G2253">
        <v>-101.0667</v>
      </c>
      <c r="H2253">
        <v>-6</v>
      </c>
      <c r="I2253">
        <v>357</v>
      </c>
      <c r="J2253" t="str">
        <f>HYPERLINK("https://climate.onebuilding.org/WMO_Region_4_North_and_Central_America/CAN_Canada/MB_Manitoba/CAN_MB_Lynn.Lake.RCS.716320_TMYx.2009-2023.zip")</f>
        <v>https://climate.onebuilding.org/WMO_Region_4_North_and_Central_America/CAN_Canada/MB_Manitoba/CAN_MB_Lynn.Lake.RCS.716320_TMYx.2009-2023.zip</v>
      </c>
    </row>
    <row r="2254" spans="1:10" x14ac:dyDescent="0.25">
      <c r="A2254" t="s">
        <v>6</v>
      </c>
      <c r="B2254" t="s">
        <v>94</v>
      </c>
      <c r="C2254" t="s">
        <v>1136</v>
      </c>
      <c r="D2254">
        <v>716320</v>
      </c>
      <c r="E2254" t="s">
        <v>10</v>
      </c>
      <c r="F2254">
        <v>56.85</v>
      </c>
      <c r="G2254">
        <v>-101.0667</v>
      </c>
      <c r="H2254">
        <v>-6</v>
      </c>
      <c r="I2254">
        <v>357</v>
      </c>
      <c r="J2254" t="str">
        <f>HYPERLINK("https://climate.onebuilding.org/WMO_Region_4_North_and_Central_America/CAN_Canada/MB_Manitoba/CAN_MB_Lynn.Lake.RCS.716320_TMYx.zip")</f>
        <v>https://climate.onebuilding.org/WMO_Region_4_North_and_Central_America/CAN_Canada/MB_Manitoba/CAN_MB_Lynn.Lake.RCS.716320_TMYx.zip</v>
      </c>
    </row>
    <row r="2255" spans="1:10" x14ac:dyDescent="0.25">
      <c r="A2255" t="s">
        <v>6</v>
      </c>
      <c r="B2255" t="s">
        <v>130</v>
      </c>
      <c r="C2255" t="s">
        <v>1137</v>
      </c>
      <c r="D2255">
        <v>716330</v>
      </c>
      <c r="E2255" t="s">
        <v>1138</v>
      </c>
      <c r="F2255">
        <v>44.745800000000003</v>
      </c>
      <c r="G2255">
        <v>-81.107200000000006</v>
      </c>
      <c r="H2255">
        <v>-5</v>
      </c>
      <c r="I2255">
        <v>222.2</v>
      </c>
      <c r="J2255" t="str">
        <f>HYPERLINK("https://climate.onebuilding.org/WMO_Region_4_North_and_Central_America/CAN_Canada/ON_Ontario/CAN_ON_Wiarton.Keppel.Intl.AP.716330_TMYx.2004-2018.zip")</f>
        <v>https://climate.onebuilding.org/WMO_Region_4_North_and_Central_America/CAN_Canada/ON_Ontario/CAN_ON_Wiarton.Keppel.Intl.AP.716330_TMYx.2004-2018.zip</v>
      </c>
    </row>
    <row r="2256" spans="1:10" x14ac:dyDescent="0.25">
      <c r="A2256" t="s">
        <v>6</v>
      </c>
      <c r="B2256" t="s">
        <v>130</v>
      </c>
      <c r="C2256" t="s">
        <v>1137</v>
      </c>
      <c r="D2256">
        <v>716330</v>
      </c>
      <c r="E2256" t="s">
        <v>10</v>
      </c>
      <c r="F2256">
        <v>44.747999999999998</v>
      </c>
      <c r="G2256">
        <v>-81.111000000000004</v>
      </c>
      <c r="H2256">
        <v>-5</v>
      </c>
      <c r="I2256">
        <v>222.2</v>
      </c>
      <c r="J2256" t="str">
        <f>HYPERLINK("https://climate.onebuilding.org/WMO_Region_4_North_and_Central_America/CAN_Canada/ON_Ontario/CAN_ON_Wiarton.Keppel.Intl.AP.716330_TMYx.2007-2021.zip")</f>
        <v>https://climate.onebuilding.org/WMO_Region_4_North_and_Central_America/CAN_Canada/ON_Ontario/CAN_ON_Wiarton.Keppel.Intl.AP.716330_TMYx.2007-2021.zip</v>
      </c>
    </row>
    <row r="2257" spans="1:10" x14ac:dyDescent="0.25">
      <c r="A2257" t="s">
        <v>6</v>
      </c>
      <c r="B2257" t="s">
        <v>130</v>
      </c>
      <c r="C2257" t="s">
        <v>1137</v>
      </c>
      <c r="D2257">
        <v>716330</v>
      </c>
      <c r="E2257" t="s">
        <v>10</v>
      </c>
      <c r="F2257">
        <v>44.747999999999998</v>
      </c>
      <c r="G2257">
        <v>-81.111000000000004</v>
      </c>
      <c r="H2257">
        <v>-5</v>
      </c>
      <c r="I2257">
        <v>222.2</v>
      </c>
      <c r="J2257" t="str">
        <f>HYPERLINK("https://climate.onebuilding.org/WMO_Region_4_North_and_Central_America/CAN_Canada/ON_Ontario/CAN_ON_Wiarton.Keppel.Intl.AP.716330_TMYx.2009-2023.zip")</f>
        <v>https://climate.onebuilding.org/WMO_Region_4_North_and_Central_America/CAN_Canada/ON_Ontario/CAN_ON_Wiarton.Keppel.Intl.AP.716330_TMYx.2009-2023.zip</v>
      </c>
    </row>
    <row r="2258" spans="1:10" x14ac:dyDescent="0.25">
      <c r="A2258" t="s">
        <v>6</v>
      </c>
      <c r="B2258" t="s">
        <v>130</v>
      </c>
      <c r="C2258" t="s">
        <v>1137</v>
      </c>
      <c r="D2258">
        <v>716330</v>
      </c>
      <c r="E2258" t="s">
        <v>10</v>
      </c>
      <c r="F2258">
        <v>44.747999999999998</v>
      </c>
      <c r="G2258">
        <v>-81.111000000000004</v>
      </c>
      <c r="H2258">
        <v>-5</v>
      </c>
      <c r="I2258">
        <v>222.2</v>
      </c>
      <c r="J2258" t="str">
        <f>HYPERLINK("https://climate.onebuilding.org/WMO_Region_4_North_and_Central_America/CAN_Canada/ON_Ontario/CAN_ON_Wiarton.Keppel.Intl.AP.716330_TMYx.zip")</f>
        <v>https://climate.onebuilding.org/WMO_Region_4_North_and_Central_America/CAN_Canada/ON_Ontario/CAN_ON_Wiarton.Keppel.Intl.AP.716330_TMYx.zip</v>
      </c>
    </row>
    <row r="2259" spans="1:10" x14ac:dyDescent="0.25">
      <c r="A2259" t="s">
        <v>6</v>
      </c>
      <c r="B2259" t="s">
        <v>45</v>
      </c>
      <c r="C2259" t="s">
        <v>1139</v>
      </c>
      <c r="D2259">
        <v>716340</v>
      </c>
      <c r="E2259" t="s">
        <v>1140</v>
      </c>
      <c r="F2259">
        <v>47.433</v>
      </c>
      <c r="G2259">
        <v>-65.582999999999998</v>
      </c>
      <c r="H2259">
        <v>-4</v>
      </c>
      <c r="I2259">
        <v>124</v>
      </c>
      <c r="J2259" t="str">
        <f>HYPERLINK("https://climate.onebuilding.org/WMO_Region_4_North_and_Central_America/CAN_Canada/NB_New_Brunswick/CAN_NB_Red.Pines.716340_TMYx.2004-2018.zip")</f>
        <v>https://climate.onebuilding.org/WMO_Region_4_North_and_Central_America/CAN_Canada/NB_New_Brunswick/CAN_NB_Red.Pines.716340_TMYx.2004-2018.zip</v>
      </c>
    </row>
    <row r="2260" spans="1:10" x14ac:dyDescent="0.25">
      <c r="A2260" t="s">
        <v>6</v>
      </c>
      <c r="B2260" t="s">
        <v>45</v>
      </c>
      <c r="C2260" t="s">
        <v>1139</v>
      </c>
      <c r="D2260">
        <v>716340</v>
      </c>
      <c r="E2260" t="s">
        <v>10</v>
      </c>
      <c r="F2260">
        <v>47.439450000000001</v>
      </c>
      <c r="G2260">
        <v>-65.59778</v>
      </c>
      <c r="H2260">
        <v>-4</v>
      </c>
      <c r="I2260">
        <v>124</v>
      </c>
      <c r="J2260" t="str">
        <f>HYPERLINK("https://climate.onebuilding.org/WMO_Region_4_North_and_Central_America/CAN_Canada/NB_New_Brunswick/CAN_NB_Red.Pines.716340_TMYx.2007-2021.zip")</f>
        <v>https://climate.onebuilding.org/WMO_Region_4_North_and_Central_America/CAN_Canada/NB_New_Brunswick/CAN_NB_Red.Pines.716340_TMYx.2007-2021.zip</v>
      </c>
    </row>
    <row r="2261" spans="1:10" x14ac:dyDescent="0.25">
      <c r="A2261" t="s">
        <v>6</v>
      </c>
      <c r="B2261" t="s">
        <v>45</v>
      </c>
      <c r="C2261" t="s">
        <v>1139</v>
      </c>
      <c r="D2261">
        <v>716340</v>
      </c>
      <c r="E2261" t="s">
        <v>10</v>
      </c>
      <c r="F2261">
        <v>47.439450000000001</v>
      </c>
      <c r="G2261">
        <v>-65.59778</v>
      </c>
      <c r="H2261">
        <v>-4</v>
      </c>
      <c r="I2261">
        <v>124</v>
      </c>
      <c r="J2261" t="str">
        <f>HYPERLINK("https://climate.onebuilding.org/WMO_Region_4_North_and_Central_America/CAN_Canada/NB_New_Brunswick/CAN_NB_Red.Pines.716340_TMYx.2009-2023.zip")</f>
        <v>https://climate.onebuilding.org/WMO_Region_4_North_and_Central_America/CAN_Canada/NB_New_Brunswick/CAN_NB_Red.Pines.716340_TMYx.2009-2023.zip</v>
      </c>
    </row>
    <row r="2262" spans="1:10" x14ac:dyDescent="0.25">
      <c r="A2262" t="s">
        <v>6</v>
      </c>
      <c r="B2262" t="s">
        <v>45</v>
      </c>
      <c r="C2262" t="s">
        <v>1139</v>
      </c>
      <c r="D2262">
        <v>716340</v>
      </c>
      <c r="E2262" t="s">
        <v>10</v>
      </c>
      <c r="F2262">
        <v>47.439450000000001</v>
      </c>
      <c r="G2262">
        <v>-65.59778</v>
      </c>
      <c r="H2262">
        <v>-4</v>
      </c>
      <c r="I2262">
        <v>124</v>
      </c>
      <c r="J2262" t="str">
        <f>HYPERLINK("https://climate.onebuilding.org/WMO_Region_4_North_and_Central_America/CAN_Canada/NB_New_Brunswick/CAN_NB_Red.Pines.716340_TMYx.zip")</f>
        <v>https://climate.onebuilding.org/WMO_Region_4_North_and_Central_America/CAN_Canada/NB_New_Brunswick/CAN_NB_Red.Pines.716340_TMYx.zip</v>
      </c>
    </row>
    <row r="2263" spans="1:10" x14ac:dyDescent="0.25">
      <c r="A2263" t="s">
        <v>6</v>
      </c>
      <c r="B2263" t="s">
        <v>17</v>
      </c>
      <c r="C2263" t="s">
        <v>1141</v>
      </c>
      <c r="D2263">
        <v>716360</v>
      </c>
      <c r="E2263" t="s">
        <v>10</v>
      </c>
      <c r="F2263">
        <v>54.130549999999999</v>
      </c>
      <c r="G2263">
        <v>-114.67749999999999</v>
      </c>
      <c r="H2263">
        <v>-7</v>
      </c>
      <c r="I2263">
        <v>647</v>
      </c>
      <c r="J2263" t="str">
        <f>HYPERLINK("https://climate.onebuilding.org/WMO_Region_4_North_and_Central_America/CAN_Canada/AB_Alberta/CAN_AB_Campsie.716360_TMYx.2007-2021.zip")</f>
        <v>https://climate.onebuilding.org/WMO_Region_4_North_and_Central_America/CAN_Canada/AB_Alberta/CAN_AB_Campsie.716360_TMYx.2007-2021.zip</v>
      </c>
    </row>
    <row r="2264" spans="1:10" x14ac:dyDescent="0.25">
      <c r="A2264" t="s">
        <v>6</v>
      </c>
      <c r="B2264" t="s">
        <v>17</v>
      </c>
      <c r="C2264" t="s">
        <v>1141</v>
      </c>
      <c r="D2264">
        <v>716360</v>
      </c>
      <c r="E2264" t="s">
        <v>10</v>
      </c>
      <c r="F2264">
        <v>54.130549999999999</v>
      </c>
      <c r="G2264">
        <v>-114.67749999999999</v>
      </c>
      <c r="H2264">
        <v>-7</v>
      </c>
      <c r="I2264">
        <v>647</v>
      </c>
      <c r="J2264" t="str">
        <f>HYPERLINK("https://climate.onebuilding.org/WMO_Region_4_North_and_Central_America/CAN_Canada/AB_Alberta/CAN_AB_Campsie.716360_TMYx.2009-2023.zip")</f>
        <v>https://climate.onebuilding.org/WMO_Region_4_North_and_Central_America/CAN_Canada/AB_Alberta/CAN_AB_Campsie.716360_TMYx.2009-2023.zip</v>
      </c>
    </row>
    <row r="2265" spans="1:10" x14ac:dyDescent="0.25">
      <c r="A2265" t="s">
        <v>6</v>
      </c>
      <c r="B2265" t="s">
        <v>17</v>
      </c>
      <c r="C2265" t="s">
        <v>1141</v>
      </c>
      <c r="D2265">
        <v>716360</v>
      </c>
      <c r="E2265" t="s">
        <v>10</v>
      </c>
      <c r="F2265">
        <v>54.130549999999999</v>
      </c>
      <c r="G2265">
        <v>-114.67749999999999</v>
      </c>
      <c r="H2265">
        <v>-7</v>
      </c>
      <c r="I2265">
        <v>647</v>
      </c>
      <c r="J2265" t="str">
        <f>HYPERLINK("https://climate.onebuilding.org/WMO_Region_4_North_and_Central_America/CAN_Canada/AB_Alberta/CAN_AB_Campsie.716360_TMYx.zip")</f>
        <v>https://climate.onebuilding.org/WMO_Region_4_North_and_Central_America/CAN_Canada/AB_Alberta/CAN_AB_Campsie.716360_TMYx.zip</v>
      </c>
    </row>
    <row r="2266" spans="1:10" x14ac:dyDescent="0.25">
      <c r="A2266" t="s">
        <v>6</v>
      </c>
      <c r="B2266" t="s">
        <v>17</v>
      </c>
      <c r="C2266" t="s">
        <v>1142</v>
      </c>
      <c r="D2266">
        <v>716370</v>
      </c>
      <c r="E2266" t="s">
        <v>10</v>
      </c>
      <c r="F2266">
        <v>53.424999999999997</v>
      </c>
      <c r="G2266">
        <v>-111.7256</v>
      </c>
      <c r="H2266">
        <v>-7</v>
      </c>
      <c r="I2266">
        <v>686</v>
      </c>
      <c r="J2266" t="str">
        <f>HYPERLINK("https://climate.onebuilding.org/WMO_Region_4_North_and_Central_America/CAN_Canada/AB_Alberta/CAN_AB_Ranfurly.716370_TMYx.2007-2021.zip")</f>
        <v>https://climate.onebuilding.org/WMO_Region_4_North_and_Central_America/CAN_Canada/AB_Alberta/CAN_AB_Ranfurly.716370_TMYx.2007-2021.zip</v>
      </c>
    </row>
    <row r="2267" spans="1:10" x14ac:dyDescent="0.25">
      <c r="A2267" t="s">
        <v>6</v>
      </c>
      <c r="B2267" t="s">
        <v>17</v>
      </c>
      <c r="C2267" t="s">
        <v>1142</v>
      </c>
      <c r="D2267">
        <v>716370</v>
      </c>
      <c r="E2267" t="s">
        <v>10</v>
      </c>
      <c r="F2267">
        <v>53.424999999999997</v>
      </c>
      <c r="G2267">
        <v>-111.7256</v>
      </c>
      <c r="H2267">
        <v>-7</v>
      </c>
      <c r="I2267">
        <v>686</v>
      </c>
      <c r="J2267" t="str">
        <f>HYPERLINK("https://climate.onebuilding.org/WMO_Region_4_North_and_Central_America/CAN_Canada/AB_Alberta/CAN_AB_Ranfurly.716370_TMYx.2009-2023.zip")</f>
        <v>https://climate.onebuilding.org/WMO_Region_4_North_and_Central_America/CAN_Canada/AB_Alberta/CAN_AB_Ranfurly.716370_TMYx.2009-2023.zip</v>
      </c>
    </row>
    <row r="2268" spans="1:10" x14ac:dyDescent="0.25">
      <c r="A2268" t="s">
        <v>6</v>
      </c>
      <c r="B2268" t="s">
        <v>17</v>
      </c>
      <c r="C2268" t="s">
        <v>1142</v>
      </c>
      <c r="D2268">
        <v>716370</v>
      </c>
      <c r="E2268" t="s">
        <v>10</v>
      </c>
      <c r="F2268">
        <v>53.424999999999997</v>
      </c>
      <c r="G2268">
        <v>-111.7256</v>
      </c>
      <c r="H2268">
        <v>-7</v>
      </c>
      <c r="I2268">
        <v>686</v>
      </c>
      <c r="J2268" t="str">
        <f>HYPERLINK("https://climate.onebuilding.org/WMO_Region_4_North_and_Central_America/CAN_Canada/AB_Alberta/CAN_AB_Ranfurly.716370_TMYx.zip")</f>
        <v>https://climate.onebuilding.org/WMO_Region_4_North_and_Central_America/CAN_Canada/AB_Alberta/CAN_AB_Ranfurly.716370_TMYx.zip</v>
      </c>
    </row>
    <row r="2269" spans="1:10" x14ac:dyDescent="0.25">
      <c r="A2269" t="s">
        <v>6</v>
      </c>
      <c r="B2269" t="s">
        <v>55</v>
      </c>
      <c r="C2269" t="s">
        <v>1143</v>
      </c>
      <c r="D2269">
        <v>716380</v>
      </c>
      <c r="E2269" t="s">
        <v>1144</v>
      </c>
      <c r="F2269">
        <v>49.458060000000003</v>
      </c>
      <c r="G2269">
        <v>-123.7153</v>
      </c>
      <c r="H2269">
        <v>-8</v>
      </c>
      <c r="I2269">
        <v>86</v>
      </c>
      <c r="J2269" t="str">
        <f>HYPERLINK("https://climate.onebuilding.org/WMO_Region_4_North_and_Central_America/CAN_Canada/BC_British_Columbia/CAN_BC_Sechelt.AP.716380_TMYx.2004-2018.zip")</f>
        <v>https://climate.onebuilding.org/WMO_Region_4_North_and_Central_America/CAN_Canada/BC_British_Columbia/CAN_BC_Sechelt.AP.716380_TMYx.2004-2018.zip</v>
      </c>
    </row>
    <row r="2270" spans="1:10" x14ac:dyDescent="0.25">
      <c r="A2270" t="s">
        <v>6</v>
      </c>
      <c r="B2270" t="s">
        <v>55</v>
      </c>
      <c r="C2270" t="s">
        <v>1143</v>
      </c>
      <c r="D2270">
        <v>716380</v>
      </c>
      <c r="E2270" t="s">
        <v>10</v>
      </c>
      <c r="F2270">
        <v>49.458060000000003</v>
      </c>
      <c r="G2270">
        <v>-123.7153</v>
      </c>
      <c r="H2270">
        <v>-8</v>
      </c>
      <c r="I2270">
        <v>86</v>
      </c>
      <c r="J2270" t="str">
        <f>HYPERLINK("https://climate.onebuilding.org/WMO_Region_4_North_and_Central_America/CAN_Canada/BC_British_Columbia/CAN_BC_Sechelt.AP.716380_TMYx.2007-2021.zip")</f>
        <v>https://climate.onebuilding.org/WMO_Region_4_North_and_Central_America/CAN_Canada/BC_British_Columbia/CAN_BC_Sechelt.AP.716380_TMYx.2007-2021.zip</v>
      </c>
    </row>
    <row r="2271" spans="1:10" x14ac:dyDescent="0.25">
      <c r="A2271" t="s">
        <v>6</v>
      </c>
      <c r="B2271" t="s">
        <v>55</v>
      </c>
      <c r="C2271" t="s">
        <v>1143</v>
      </c>
      <c r="D2271">
        <v>716380</v>
      </c>
      <c r="E2271" t="s">
        <v>10</v>
      </c>
      <c r="F2271">
        <v>49.458060000000003</v>
      </c>
      <c r="G2271">
        <v>-123.7153</v>
      </c>
      <c r="H2271">
        <v>-8</v>
      </c>
      <c r="I2271">
        <v>86</v>
      </c>
      <c r="J2271" t="str">
        <f>HYPERLINK("https://climate.onebuilding.org/WMO_Region_4_North_and_Central_America/CAN_Canada/BC_British_Columbia/CAN_BC_Sechelt.AP.716380_TMYx.2009-2023.zip")</f>
        <v>https://climate.onebuilding.org/WMO_Region_4_North_and_Central_America/CAN_Canada/BC_British_Columbia/CAN_BC_Sechelt.AP.716380_TMYx.2009-2023.zip</v>
      </c>
    </row>
    <row r="2272" spans="1:10" x14ac:dyDescent="0.25">
      <c r="A2272" t="s">
        <v>6</v>
      </c>
      <c r="B2272" t="s">
        <v>55</v>
      </c>
      <c r="C2272" t="s">
        <v>1143</v>
      </c>
      <c r="D2272">
        <v>716380</v>
      </c>
      <c r="E2272" t="s">
        <v>10</v>
      </c>
      <c r="F2272">
        <v>49.458060000000003</v>
      </c>
      <c r="G2272">
        <v>-123.7153</v>
      </c>
      <c r="H2272">
        <v>-8</v>
      </c>
      <c r="I2272">
        <v>86</v>
      </c>
      <c r="J2272" t="str">
        <f>HYPERLINK("https://climate.onebuilding.org/WMO_Region_4_North_and_Central_America/CAN_Canada/BC_British_Columbia/CAN_BC_Sechelt.AP.716380_TMYx.zip")</f>
        <v>https://climate.onebuilding.org/WMO_Region_4_North_and_Central_America/CAN_Canada/BC_British_Columbia/CAN_BC_Sechelt.AP.716380_TMYx.zip</v>
      </c>
    </row>
    <row r="2273" spans="1:10" x14ac:dyDescent="0.25">
      <c r="A2273" t="s">
        <v>6</v>
      </c>
      <c r="B2273" t="s">
        <v>130</v>
      </c>
      <c r="C2273" t="s">
        <v>1145</v>
      </c>
      <c r="D2273">
        <v>716390</v>
      </c>
      <c r="E2273" t="s">
        <v>1146</v>
      </c>
      <c r="F2273">
        <v>43.862200000000001</v>
      </c>
      <c r="G2273">
        <v>-79.37</v>
      </c>
      <c r="H2273">
        <v>-5</v>
      </c>
      <c r="I2273">
        <v>198.1</v>
      </c>
      <c r="J2273" t="str">
        <f>HYPERLINK("https://climate.onebuilding.org/WMO_Region_4_North_and_Central_America/CAN_Canada/ON_Ontario/CAN_ON_Toronto-Buttonville.Muni.AP.716390_TMYx.2004-2018.zip")</f>
        <v>https://climate.onebuilding.org/WMO_Region_4_North_and_Central_America/CAN_Canada/ON_Ontario/CAN_ON_Toronto-Buttonville.Muni.AP.716390_TMYx.2004-2018.zip</v>
      </c>
    </row>
    <row r="2274" spans="1:10" x14ac:dyDescent="0.25">
      <c r="A2274" t="s">
        <v>6</v>
      </c>
      <c r="B2274" t="s">
        <v>130</v>
      </c>
      <c r="C2274" t="s">
        <v>1145</v>
      </c>
      <c r="D2274">
        <v>716390</v>
      </c>
      <c r="E2274" t="s">
        <v>10</v>
      </c>
      <c r="F2274">
        <v>43.866</v>
      </c>
      <c r="G2274">
        <v>-79.368099999999998</v>
      </c>
      <c r="H2274">
        <v>-5</v>
      </c>
      <c r="I2274">
        <v>198.1</v>
      </c>
      <c r="J2274" t="str">
        <f>HYPERLINK("https://climate.onebuilding.org/WMO_Region_4_North_and_Central_America/CAN_Canada/ON_Ontario/CAN_ON_Toronto-Buttonville.Muni.AP.716390_TMYx.2007-2021.zip")</f>
        <v>https://climate.onebuilding.org/WMO_Region_4_North_and_Central_America/CAN_Canada/ON_Ontario/CAN_ON_Toronto-Buttonville.Muni.AP.716390_TMYx.2007-2021.zip</v>
      </c>
    </row>
    <row r="2275" spans="1:10" x14ac:dyDescent="0.25">
      <c r="A2275" t="s">
        <v>6</v>
      </c>
      <c r="B2275" t="s">
        <v>130</v>
      </c>
      <c r="C2275" t="s">
        <v>1145</v>
      </c>
      <c r="D2275">
        <v>716390</v>
      </c>
      <c r="E2275" t="s">
        <v>10</v>
      </c>
      <c r="F2275">
        <v>43.866</v>
      </c>
      <c r="G2275">
        <v>-79.368099999999998</v>
      </c>
      <c r="H2275">
        <v>-5</v>
      </c>
      <c r="I2275">
        <v>198.1</v>
      </c>
      <c r="J2275" t="str">
        <f>HYPERLINK("https://climate.onebuilding.org/WMO_Region_4_North_and_Central_America/CAN_Canada/ON_Ontario/CAN_ON_Toronto-Buttonville.Muni.AP.716390_TMYx.2009-2023.zip")</f>
        <v>https://climate.onebuilding.org/WMO_Region_4_North_and_Central_America/CAN_Canada/ON_Ontario/CAN_ON_Toronto-Buttonville.Muni.AP.716390_TMYx.2009-2023.zip</v>
      </c>
    </row>
    <row r="2276" spans="1:10" x14ac:dyDescent="0.25">
      <c r="A2276" t="s">
        <v>6</v>
      </c>
      <c r="B2276" t="s">
        <v>130</v>
      </c>
      <c r="C2276" t="s">
        <v>1145</v>
      </c>
      <c r="D2276">
        <v>716390</v>
      </c>
      <c r="E2276" t="s">
        <v>10</v>
      </c>
      <c r="F2276">
        <v>43.866</v>
      </c>
      <c r="G2276">
        <v>-79.368099999999998</v>
      </c>
      <c r="H2276">
        <v>-5</v>
      </c>
      <c r="I2276">
        <v>198.1</v>
      </c>
      <c r="J2276" t="str">
        <f>HYPERLINK("https://climate.onebuilding.org/WMO_Region_4_North_and_Central_America/CAN_Canada/ON_Ontario/CAN_ON_Toronto-Buttonville.Muni.AP.716390_TMYx.zip")</f>
        <v>https://climate.onebuilding.org/WMO_Region_4_North_and_Central_America/CAN_Canada/ON_Ontario/CAN_ON_Toronto-Buttonville.Muni.AP.716390_TMYx.zip</v>
      </c>
    </row>
    <row r="2277" spans="1:10" x14ac:dyDescent="0.25">
      <c r="A2277" t="s">
        <v>6</v>
      </c>
      <c r="B2277" t="s">
        <v>130</v>
      </c>
      <c r="C2277" t="s">
        <v>1147</v>
      </c>
      <c r="D2277">
        <v>716400</v>
      </c>
      <c r="E2277" t="s">
        <v>10</v>
      </c>
      <c r="F2277">
        <v>47.723100000000002</v>
      </c>
      <c r="G2277">
        <v>-84.8142</v>
      </c>
      <c r="H2277">
        <v>-5</v>
      </c>
      <c r="I2277">
        <v>400.6</v>
      </c>
      <c r="J2277" t="str">
        <f>HYPERLINK("https://climate.onebuilding.org/WMO_Region_4_North_and_Central_America/CAN_Canada/ON_Ontario/CAN_ON_Lake.Superior.Prov.Park.716400_TMYx.2007-2021.zip")</f>
        <v>https://climate.onebuilding.org/WMO_Region_4_North_and_Central_America/CAN_Canada/ON_Ontario/CAN_ON_Lake.Superior.Prov.Park.716400_TMYx.2007-2021.zip</v>
      </c>
    </row>
    <row r="2278" spans="1:10" x14ac:dyDescent="0.25">
      <c r="A2278" t="s">
        <v>6</v>
      </c>
      <c r="B2278" t="s">
        <v>130</v>
      </c>
      <c r="C2278" t="s">
        <v>1147</v>
      </c>
      <c r="D2278">
        <v>716400</v>
      </c>
      <c r="E2278" t="s">
        <v>10</v>
      </c>
      <c r="F2278">
        <v>47.723100000000002</v>
      </c>
      <c r="G2278">
        <v>-84.8142</v>
      </c>
      <c r="H2278">
        <v>-5</v>
      </c>
      <c r="I2278">
        <v>400.6</v>
      </c>
      <c r="J2278" t="str">
        <f>HYPERLINK("https://climate.onebuilding.org/WMO_Region_4_North_and_Central_America/CAN_Canada/ON_Ontario/CAN_ON_Lake.Superior.Prov.Park.716400_TMYx.2009-2023.zip")</f>
        <v>https://climate.onebuilding.org/WMO_Region_4_North_and_Central_America/CAN_Canada/ON_Ontario/CAN_ON_Lake.Superior.Prov.Park.716400_TMYx.2009-2023.zip</v>
      </c>
    </row>
    <row r="2279" spans="1:10" x14ac:dyDescent="0.25">
      <c r="A2279" t="s">
        <v>6</v>
      </c>
      <c r="B2279" t="s">
        <v>130</v>
      </c>
      <c r="C2279" t="s">
        <v>1147</v>
      </c>
      <c r="D2279">
        <v>716400</v>
      </c>
      <c r="E2279" t="s">
        <v>10</v>
      </c>
      <c r="F2279">
        <v>47.723100000000002</v>
      </c>
      <c r="G2279">
        <v>-84.8142</v>
      </c>
      <c r="H2279">
        <v>-5</v>
      </c>
      <c r="I2279">
        <v>400.6</v>
      </c>
      <c r="J2279" t="str">
        <f>HYPERLINK("https://climate.onebuilding.org/WMO_Region_4_North_and_Central_America/CAN_Canada/ON_Ontario/CAN_ON_Lake.Superior.Prov.Park.716400_TMYx.zip")</f>
        <v>https://climate.onebuilding.org/WMO_Region_4_North_and_Central_America/CAN_Canada/ON_Ontario/CAN_ON_Lake.Superior.Prov.Park.716400_TMYx.zip</v>
      </c>
    </row>
    <row r="2280" spans="1:10" x14ac:dyDescent="0.25">
      <c r="A2280" t="s">
        <v>6</v>
      </c>
      <c r="B2280" t="s">
        <v>130</v>
      </c>
      <c r="C2280" t="s">
        <v>1148</v>
      </c>
      <c r="D2280">
        <v>716420</v>
      </c>
      <c r="E2280" t="s">
        <v>1149</v>
      </c>
      <c r="F2280">
        <v>47.82</v>
      </c>
      <c r="G2280">
        <v>-83.346699999999998</v>
      </c>
      <c r="H2280">
        <v>-5</v>
      </c>
      <c r="I2280">
        <v>448.1</v>
      </c>
      <c r="J2280" t="str">
        <f>HYPERLINK("https://climate.onebuilding.org/WMO_Region_4_North_and_Central_America/CAN_Canada/ON_Ontario/CAN_ON_Chapleau.AP.716420_TMYx.2004-2018.zip")</f>
        <v>https://climate.onebuilding.org/WMO_Region_4_North_and_Central_America/CAN_Canada/ON_Ontario/CAN_ON_Chapleau.AP.716420_TMYx.2004-2018.zip</v>
      </c>
    </row>
    <row r="2281" spans="1:10" x14ac:dyDescent="0.25">
      <c r="A2281" t="s">
        <v>6</v>
      </c>
      <c r="B2281" t="s">
        <v>130</v>
      </c>
      <c r="C2281" t="s">
        <v>1148</v>
      </c>
      <c r="D2281">
        <v>716420</v>
      </c>
      <c r="E2281" t="s">
        <v>10</v>
      </c>
      <c r="F2281">
        <v>47.82</v>
      </c>
      <c r="G2281">
        <v>-83.346699999999998</v>
      </c>
      <c r="H2281">
        <v>-5</v>
      </c>
      <c r="I2281">
        <v>448.1</v>
      </c>
      <c r="J2281" t="str">
        <f>HYPERLINK("https://climate.onebuilding.org/WMO_Region_4_North_and_Central_America/CAN_Canada/ON_Ontario/CAN_ON_Chapleau.AP.716420_TMYx.2007-2021.zip")</f>
        <v>https://climate.onebuilding.org/WMO_Region_4_North_and_Central_America/CAN_Canada/ON_Ontario/CAN_ON_Chapleau.AP.716420_TMYx.2007-2021.zip</v>
      </c>
    </row>
    <row r="2282" spans="1:10" x14ac:dyDescent="0.25">
      <c r="A2282" t="s">
        <v>6</v>
      </c>
      <c r="B2282" t="s">
        <v>130</v>
      </c>
      <c r="C2282" t="s">
        <v>1148</v>
      </c>
      <c r="D2282">
        <v>716420</v>
      </c>
      <c r="E2282" t="s">
        <v>10</v>
      </c>
      <c r="F2282">
        <v>47.82</v>
      </c>
      <c r="G2282">
        <v>-83.346699999999998</v>
      </c>
      <c r="H2282">
        <v>-5</v>
      </c>
      <c r="I2282">
        <v>448.1</v>
      </c>
      <c r="J2282" t="str">
        <f>HYPERLINK("https://climate.onebuilding.org/WMO_Region_4_North_and_Central_America/CAN_Canada/ON_Ontario/CAN_ON_Chapleau.AP.716420_TMYx.2009-2023.zip")</f>
        <v>https://climate.onebuilding.org/WMO_Region_4_North_and_Central_America/CAN_Canada/ON_Ontario/CAN_ON_Chapleau.AP.716420_TMYx.2009-2023.zip</v>
      </c>
    </row>
    <row r="2283" spans="1:10" x14ac:dyDescent="0.25">
      <c r="A2283" t="s">
        <v>6</v>
      </c>
      <c r="B2283" t="s">
        <v>130</v>
      </c>
      <c r="C2283" t="s">
        <v>1148</v>
      </c>
      <c r="D2283">
        <v>716420</v>
      </c>
      <c r="E2283" t="s">
        <v>10</v>
      </c>
      <c r="F2283">
        <v>47.82</v>
      </c>
      <c r="G2283">
        <v>-83.346699999999998</v>
      </c>
      <c r="H2283">
        <v>-5</v>
      </c>
      <c r="I2283">
        <v>448.1</v>
      </c>
      <c r="J2283" t="str">
        <f>HYPERLINK("https://climate.onebuilding.org/WMO_Region_4_North_and_Central_America/CAN_Canada/ON_Ontario/CAN_ON_Chapleau.AP.716420_TMYx.zip")</f>
        <v>https://climate.onebuilding.org/WMO_Region_4_North_and_Central_America/CAN_Canada/ON_Ontario/CAN_ON_Chapleau.AP.716420_TMYx.zip</v>
      </c>
    </row>
    <row r="2284" spans="1:10" x14ac:dyDescent="0.25">
      <c r="A2284" t="s">
        <v>6</v>
      </c>
      <c r="B2284" t="s">
        <v>45</v>
      </c>
      <c r="C2284" t="s">
        <v>1150</v>
      </c>
      <c r="D2284">
        <v>716445</v>
      </c>
      <c r="E2284" t="s">
        <v>1151</v>
      </c>
      <c r="F2284">
        <v>45.97</v>
      </c>
      <c r="G2284">
        <v>-66.650000000000006</v>
      </c>
      <c r="H2284">
        <v>-4</v>
      </c>
      <c r="I2284">
        <v>8</v>
      </c>
      <c r="J2284" t="str">
        <f>HYPERLINK("https://climate.onebuilding.org/WMO_Region_4_North_and_Central_America/CAN_Canada/NB_New_Brunswick/CAN_NB_Fredericton.Aquatic.Centre.716445_TMYx.2004-2018.zip")</f>
        <v>https://climate.onebuilding.org/WMO_Region_4_North_and_Central_America/CAN_Canada/NB_New_Brunswick/CAN_NB_Fredericton.Aquatic.Centre.716445_TMYx.2004-2018.zip</v>
      </c>
    </row>
    <row r="2285" spans="1:10" x14ac:dyDescent="0.25">
      <c r="A2285" t="s">
        <v>6</v>
      </c>
      <c r="B2285" t="s">
        <v>45</v>
      </c>
      <c r="C2285" t="s">
        <v>1150</v>
      </c>
      <c r="D2285">
        <v>716445</v>
      </c>
      <c r="E2285" t="s">
        <v>10</v>
      </c>
      <c r="F2285">
        <v>45.966000000000001</v>
      </c>
      <c r="G2285">
        <v>-66.650999999999996</v>
      </c>
      <c r="H2285">
        <v>-4</v>
      </c>
      <c r="I2285">
        <v>8</v>
      </c>
      <c r="J2285" t="str">
        <f>HYPERLINK("https://climate.onebuilding.org/WMO_Region_4_North_and_Central_America/CAN_Canada/NB_New_Brunswick/CAN_NB_Fredericton.Aquatic.Centre.716445_TMYx.2007-2021.zip")</f>
        <v>https://climate.onebuilding.org/WMO_Region_4_North_and_Central_America/CAN_Canada/NB_New_Brunswick/CAN_NB_Fredericton.Aquatic.Centre.716445_TMYx.2007-2021.zip</v>
      </c>
    </row>
    <row r="2286" spans="1:10" x14ac:dyDescent="0.25">
      <c r="A2286" t="s">
        <v>6</v>
      </c>
      <c r="B2286" t="s">
        <v>45</v>
      </c>
      <c r="C2286" t="s">
        <v>1150</v>
      </c>
      <c r="D2286">
        <v>716445</v>
      </c>
      <c r="E2286" t="s">
        <v>10</v>
      </c>
      <c r="F2286">
        <v>45.966000000000001</v>
      </c>
      <c r="G2286">
        <v>-66.650999999999996</v>
      </c>
      <c r="H2286">
        <v>-4</v>
      </c>
      <c r="I2286">
        <v>8</v>
      </c>
      <c r="J2286" t="str">
        <f>HYPERLINK("https://climate.onebuilding.org/WMO_Region_4_North_and_Central_America/CAN_Canada/NB_New_Brunswick/CAN_NB_Fredericton.Aquatic.Centre.716445_TMYx.2009-2023.zip")</f>
        <v>https://climate.onebuilding.org/WMO_Region_4_North_and_Central_America/CAN_Canada/NB_New_Brunswick/CAN_NB_Fredericton.Aquatic.Centre.716445_TMYx.2009-2023.zip</v>
      </c>
    </row>
    <row r="2287" spans="1:10" x14ac:dyDescent="0.25">
      <c r="A2287" t="s">
        <v>6</v>
      </c>
      <c r="B2287" t="s">
        <v>45</v>
      </c>
      <c r="C2287" t="s">
        <v>1150</v>
      </c>
      <c r="D2287">
        <v>716445</v>
      </c>
      <c r="E2287" t="s">
        <v>10</v>
      </c>
      <c r="F2287">
        <v>45.966000000000001</v>
      </c>
      <c r="G2287">
        <v>-66.650999999999996</v>
      </c>
      <c r="H2287">
        <v>-4</v>
      </c>
      <c r="I2287">
        <v>8</v>
      </c>
      <c r="J2287" t="str">
        <f>HYPERLINK("https://climate.onebuilding.org/WMO_Region_4_North_and_Central_America/CAN_Canada/NB_New_Brunswick/CAN_NB_Fredericton.Aquatic.Centre.716445_TMYx.zip")</f>
        <v>https://climate.onebuilding.org/WMO_Region_4_North_and_Central_America/CAN_Canada/NB_New_Brunswick/CAN_NB_Fredericton.Aquatic.Centre.716445_TMYx.zip</v>
      </c>
    </row>
    <row r="2288" spans="1:10" x14ac:dyDescent="0.25">
      <c r="A2288" t="s">
        <v>6</v>
      </c>
      <c r="B2288" t="s">
        <v>58</v>
      </c>
      <c r="C2288" t="s">
        <v>1152</v>
      </c>
      <c r="D2288">
        <v>716630</v>
      </c>
      <c r="E2288" t="s">
        <v>10</v>
      </c>
      <c r="F2288">
        <v>53.131399999999999</v>
      </c>
      <c r="G2288">
        <v>-109.405</v>
      </c>
      <c r="H2288">
        <v>-6</v>
      </c>
      <c r="I2288">
        <v>640</v>
      </c>
      <c r="J2288" t="str">
        <f>HYPERLINK("https://climate.onebuilding.org/WMO_Region_4_North_and_Central_America/CAN_Canada/SK_Saskatchewan/CAN_SK_Waseca.RCS.716630_TMYx.2007-2021.zip")</f>
        <v>https://climate.onebuilding.org/WMO_Region_4_North_and_Central_America/CAN_Canada/SK_Saskatchewan/CAN_SK_Waseca.RCS.716630_TMYx.2007-2021.zip</v>
      </c>
    </row>
    <row r="2289" spans="1:10" x14ac:dyDescent="0.25">
      <c r="A2289" t="s">
        <v>6</v>
      </c>
      <c r="B2289" t="s">
        <v>58</v>
      </c>
      <c r="C2289" t="s">
        <v>1152</v>
      </c>
      <c r="D2289">
        <v>716630</v>
      </c>
      <c r="E2289" t="s">
        <v>10</v>
      </c>
      <c r="F2289">
        <v>53.131399999999999</v>
      </c>
      <c r="G2289">
        <v>-109.405</v>
      </c>
      <c r="H2289">
        <v>-6</v>
      </c>
      <c r="I2289">
        <v>640</v>
      </c>
      <c r="J2289" t="str">
        <f>HYPERLINK("https://climate.onebuilding.org/WMO_Region_4_North_and_Central_America/CAN_Canada/SK_Saskatchewan/CAN_SK_Waseca.RCS.716630_TMYx.2009-2023.zip")</f>
        <v>https://climate.onebuilding.org/WMO_Region_4_North_and_Central_America/CAN_Canada/SK_Saskatchewan/CAN_SK_Waseca.RCS.716630_TMYx.2009-2023.zip</v>
      </c>
    </row>
    <row r="2290" spans="1:10" x14ac:dyDescent="0.25">
      <c r="A2290" t="s">
        <v>6</v>
      </c>
      <c r="B2290" t="s">
        <v>58</v>
      </c>
      <c r="C2290" t="s">
        <v>1152</v>
      </c>
      <c r="D2290">
        <v>716630</v>
      </c>
      <c r="E2290" t="s">
        <v>10</v>
      </c>
      <c r="F2290">
        <v>53.131399999999999</v>
      </c>
      <c r="G2290">
        <v>-109.405</v>
      </c>
      <c r="H2290">
        <v>-6</v>
      </c>
      <c r="I2290">
        <v>640</v>
      </c>
      <c r="J2290" t="str">
        <f>HYPERLINK("https://climate.onebuilding.org/WMO_Region_4_North_and_Central_America/CAN_Canada/SK_Saskatchewan/CAN_SK_Waseca.RCS.716630_TMYx.zip")</f>
        <v>https://climate.onebuilding.org/WMO_Region_4_North_and_Central_America/CAN_Canada/SK_Saskatchewan/CAN_SK_Waseca.RCS.716630_TMYx.zip</v>
      </c>
    </row>
    <row r="2291" spans="1:10" x14ac:dyDescent="0.25">
      <c r="A2291" t="s">
        <v>6</v>
      </c>
      <c r="B2291" t="s">
        <v>45</v>
      </c>
      <c r="C2291" t="s">
        <v>1153</v>
      </c>
      <c r="D2291">
        <v>716660</v>
      </c>
      <c r="E2291" t="s">
        <v>1154</v>
      </c>
      <c r="F2291">
        <v>46.430300000000003</v>
      </c>
      <c r="G2291">
        <v>-64.768100000000004</v>
      </c>
      <c r="H2291">
        <v>-4</v>
      </c>
      <c r="I2291">
        <v>35.9</v>
      </c>
      <c r="J2291" t="str">
        <f>HYPERLINK("https://climate.onebuilding.org/WMO_Region_4_North_and_Central_America/CAN_Canada/NB_New_Brunswick/CAN_NB_Buctouche.CDA.CS.716660_TMYx.2004-2018.zip")</f>
        <v>https://climate.onebuilding.org/WMO_Region_4_North_and_Central_America/CAN_Canada/NB_New_Brunswick/CAN_NB_Buctouche.CDA.CS.716660_TMYx.2004-2018.zip</v>
      </c>
    </row>
    <row r="2292" spans="1:10" x14ac:dyDescent="0.25">
      <c r="A2292" t="s">
        <v>6</v>
      </c>
      <c r="B2292" t="s">
        <v>45</v>
      </c>
      <c r="C2292" t="s">
        <v>1153</v>
      </c>
      <c r="D2292">
        <v>716660</v>
      </c>
      <c r="E2292" t="s">
        <v>10</v>
      </c>
      <c r="F2292">
        <v>46.43056</v>
      </c>
      <c r="G2292">
        <v>-64.767499999999998</v>
      </c>
      <c r="H2292">
        <v>-4</v>
      </c>
      <c r="I2292">
        <v>35.9</v>
      </c>
      <c r="J2292" t="str">
        <f>HYPERLINK("https://climate.onebuilding.org/WMO_Region_4_North_and_Central_America/CAN_Canada/NB_New_Brunswick/CAN_NB_Buctouche.CDA.CS.716660_TMYx.2007-2021.zip")</f>
        <v>https://climate.onebuilding.org/WMO_Region_4_North_and_Central_America/CAN_Canada/NB_New_Brunswick/CAN_NB_Buctouche.CDA.CS.716660_TMYx.2007-2021.zip</v>
      </c>
    </row>
    <row r="2293" spans="1:10" x14ac:dyDescent="0.25">
      <c r="A2293" t="s">
        <v>6</v>
      </c>
      <c r="B2293" t="s">
        <v>45</v>
      </c>
      <c r="C2293" t="s">
        <v>1153</v>
      </c>
      <c r="D2293">
        <v>716660</v>
      </c>
      <c r="E2293" t="s">
        <v>10</v>
      </c>
      <c r="F2293">
        <v>46.43056</v>
      </c>
      <c r="G2293">
        <v>-64.767499999999998</v>
      </c>
      <c r="H2293">
        <v>-4</v>
      </c>
      <c r="I2293">
        <v>35.9</v>
      </c>
      <c r="J2293" t="str">
        <f>HYPERLINK("https://climate.onebuilding.org/WMO_Region_4_North_and_Central_America/CAN_Canada/NB_New_Brunswick/CAN_NB_Buctouche.CDA.CS.716660_TMYx.2009-2023.zip")</f>
        <v>https://climate.onebuilding.org/WMO_Region_4_North_and_Central_America/CAN_Canada/NB_New_Brunswick/CAN_NB_Buctouche.CDA.CS.716660_TMYx.2009-2023.zip</v>
      </c>
    </row>
    <row r="2294" spans="1:10" x14ac:dyDescent="0.25">
      <c r="A2294" t="s">
        <v>6</v>
      </c>
      <c r="B2294" t="s">
        <v>45</v>
      </c>
      <c r="C2294" t="s">
        <v>1153</v>
      </c>
      <c r="D2294">
        <v>716660</v>
      </c>
      <c r="E2294" t="s">
        <v>10</v>
      </c>
      <c r="F2294">
        <v>46.43056</v>
      </c>
      <c r="G2294">
        <v>-64.767499999999998</v>
      </c>
      <c r="H2294">
        <v>-4</v>
      </c>
      <c r="I2294">
        <v>35.9</v>
      </c>
      <c r="J2294" t="str">
        <f>HYPERLINK("https://climate.onebuilding.org/WMO_Region_4_North_and_Central_America/CAN_Canada/NB_New_Brunswick/CAN_NB_Buctouche.CDA.CS.716660_TMYx.zip")</f>
        <v>https://climate.onebuilding.org/WMO_Region_4_North_and_Central_America/CAN_Canada/NB_New_Brunswick/CAN_NB_Buctouche.CDA.CS.716660_TMYx.zip</v>
      </c>
    </row>
    <row r="2295" spans="1:10" x14ac:dyDescent="0.25">
      <c r="A2295" t="s">
        <v>6</v>
      </c>
      <c r="B2295" t="s">
        <v>130</v>
      </c>
      <c r="C2295" t="s">
        <v>1155</v>
      </c>
      <c r="D2295">
        <v>716670</v>
      </c>
      <c r="E2295" t="s">
        <v>1156</v>
      </c>
      <c r="F2295">
        <v>48.369399999999999</v>
      </c>
      <c r="G2295">
        <v>-89.327200000000005</v>
      </c>
      <c r="H2295">
        <v>-5</v>
      </c>
      <c r="I2295">
        <v>199.4</v>
      </c>
      <c r="J2295" t="str">
        <f>HYPERLINK("https://climate.onebuilding.org/WMO_Region_4_North_and_Central_America/CAN_Canada/ON_Ontario/CAN_ON_Thunder.Bay.Intl.AP.716670_TMYx.2004-2018.zip")</f>
        <v>https://climate.onebuilding.org/WMO_Region_4_North_and_Central_America/CAN_Canada/ON_Ontario/CAN_ON_Thunder.Bay.Intl.AP.716670_TMYx.2004-2018.zip</v>
      </c>
    </row>
    <row r="2296" spans="1:10" x14ac:dyDescent="0.25">
      <c r="A2296" t="s">
        <v>6</v>
      </c>
      <c r="B2296" t="s">
        <v>130</v>
      </c>
      <c r="C2296" t="s">
        <v>1155</v>
      </c>
      <c r="D2296">
        <v>716670</v>
      </c>
      <c r="E2296" t="s">
        <v>10</v>
      </c>
      <c r="F2296">
        <v>48.369399999999999</v>
      </c>
      <c r="G2296">
        <v>-89.327200000000005</v>
      </c>
      <c r="H2296">
        <v>-5</v>
      </c>
      <c r="I2296">
        <v>199.4</v>
      </c>
      <c r="J2296" t="str">
        <f>HYPERLINK("https://climate.onebuilding.org/WMO_Region_4_North_and_Central_America/CAN_Canada/ON_Ontario/CAN_ON_Thunder.Bay.Intl.AP.716670_TMYx.2007-2021.zip")</f>
        <v>https://climate.onebuilding.org/WMO_Region_4_North_and_Central_America/CAN_Canada/ON_Ontario/CAN_ON_Thunder.Bay.Intl.AP.716670_TMYx.2007-2021.zip</v>
      </c>
    </row>
    <row r="2297" spans="1:10" x14ac:dyDescent="0.25">
      <c r="A2297" t="s">
        <v>6</v>
      </c>
      <c r="B2297" t="s">
        <v>130</v>
      </c>
      <c r="C2297" t="s">
        <v>1155</v>
      </c>
      <c r="D2297">
        <v>716670</v>
      </c>
      <c r="E2297" t="s">
        <v>10</v>
      </c>
      <c r="F2297">
        <v>48.369399999999999</v>
      </c>
      <c r="G2297">
        <v>-89.327200000000005</v>
      </c>
      <c r="H2297">
        <v>-5</v>
      </c>
      <c r="I2297">
        <v>199.4</v>
      </c>
      <c r="J2297" t="str">
        <f>HYPERLINK("https://climate.onebuilding.org/WMO_Region_4_North_and_Central_America/CAN_Canada/ON_Ontario/CAN_ON_Thunder.Bay.Intl.AP.716670_TMYx.2009-2023.zip")</f>
        <v>https://climate.onebuilding.org/WMO_Region_4_North_and_Central_America/CAN_Canada/ON_Ontario/CAN_ON_Thunder.Bay.Intl.AP.716670_TMYx.2009-2023.zip</v>
      </c>
    </row>
    <row r="2298" spans="1:10" x14ac:dyDescent="0.25">
      <c r="A2298" t="s">
        <v>6</v>
      </c>
      <c r="B2298" t="s">
        <v>130</v>
      </c>
      <c r="C2298" t="s">
        <v>1155</v>
      </c>
      <c r="D2298">
        <v>716670</v>
      </c>
      <c r="E2298" t="s">
        <v>10</v>
      </c>
      <c r="F2298">
        <v>48.369399999999999</v>
      </c>
      <c r="G2298">
        <v>-89.327200000000005</v>
      </c>
      <c r="H2298">
        <v>-5</v>
      </c>
      <c r="I2298">
        <v>199.4</v>
      </c>
      <c r="J2298" t="str">
        <f>HYPERLINK("https://climate.onebuilding.org/WMO_Region_4_North_and_Central_America/CAN_Canada/ON_Ontario/CAN_ON_Thunder.Bay.Intl.AP.716670_TMYx.zip")</f>
        <v>https://climate.onebuilding.org/WMO_Region_4_North_and_Central_America/CAN_Canada/ON_Ontario/CAN_ON_Thunder.Bay.Intl.AP.716670_TMYx.zip</v>
      </c>
    </row>
    <row r="2299" spans="1:10" x14ac:dyDescent="0.25">
      <c r="A2299" t="s">
        <v>6</v>
      </c>
      <c r="B2299" t="s">
        <v>45</v>
      </c>
      <c r="C2299" t="s">
        <v>1157</v>
      </c>
      <c r="D2299">
        <v>716680</v>
      </c>
      <c r="E2299" t="s">
        <v>1158</v>
      </c>
      <c r="F2299">
        <v>45.920299999999997</v>
      </c>
      <c r="G2299">
        <v>-66.608900000000006</v>
      </c>
      <c r="H2299">
        <v>-4</v>
      </c>
      <c r="I2299">
        <v>34.9</v>
      </c>
      <c r="J2299" t="str">
        <f>HYPERLINK("https://climate.onebuilding.org/WMO_Region_4_North_and_Central_America/CAN_Canada/NB_New_Brunswick/CAN_NB_Fredericton.CDA.CS.716680_TMYx.2004-2018.zip")</f>
        <v>https://climate.onebuilding.org/WMO_Region_4_North_and_Central_America/CAN_Canada/NB_New_Brunswick/CAN_NB_Fredericton.CDA.CS.716680_TMYx.2004-2018.zip</v>
      </c>
    </row>
    <row r="2300" spans="1:10" x14ac:dyDescent="0.25">
      <c r="A2300" t="s">
        <v>6</v>
      </c>
      <c r="B2300" t="s">
        <v>45</v>
      </c>
      <c r="C2300" t="s">
        <v>1157</v>
      </c>
      <c r="D2300">
        <v>716680</v>
      </c>
      <c r="E2300" t="s">
        <v>10</v>
      </c>
      <c r="F2300">
        <v>45.920299999999997</v>
      </c>
      <c r="G2300">
        <v>-66.608900000000006</v>
      </c>
      <c r="H2300">
        <v>-4</v>
      </c>
      <c r="I2300">
        <v>34.9</v>
      </c>
      <c r="J2300" t="str">
        <f>HYPERLINK("https://climate.onebuilding.org/WMO_Region_4_North_and_Central_America/CAN_Canada/NB_New_Brunswick/CAN_NB_Fredericton.CDA.CS.716680_TMYx.2007-2021.zip")</f>
        <v>https://climate.onebuilding.org/WMO_Region_4_North_and_Central_America/CAN_Canada/NB_New_Brunswick/CAN_NB_Fredericton.CDA.CS.716680_TMYx.2007-2021.zip</v>
      </c>
    </row>
    <row r="2301" spans="1:10" x14ac:dyDescent="0.25">
      <c r="A2301" t="s">
        <v>6</v>
      </c>
      <c r="B2301" t="s">
        <v>45</v>
      </c>
      <c r="C2301" t="s">
        <v>1157</v>
      </c>
      <c r="D2301">
        <v>716680</v>
      </c>
      <c r="E2301" t="s">
        <v>10</v>
      </c>
      <c r="F2301">
        <v>45.920299999999997</v>
      </c>
      <c r="G2301">
        <v>-66.608900000000006</v>
      </c>
      <c r="H2301">
        <v>-4</v>
      </c>
      <c r="I2301">
        <v>34.9</v>
      </c>
      <c r="J2301" t="str">
        <f>HYPERLINK("https://climate.onebuilding.org/WMO_Region_4_North_and_Central_America/CAN_Canada/NB_New_Brunswick/CAN_NB_Fredericton.CDA.CS.716680_TMYx.2009-2023.zip")</f>
        <v>https://climate.onebuilding.org/WMO_Region_4_North_and_Central_America/CAN_Canada/NB_New_Brunswick/CAN_NB_Fredericton.CDA.CS.716680_TMYx.2009-2023.zip</v>
      </c>
    </row>
    <row r="2302" spans="1:10" x14ac:dyDescent="0.25">
      <c r="A2302" t="s">
        <v>6</v>
      </c>
      <c r="B2302" t="s">
        <v>45</v>
      </c>
      <c r="C2302" t="s">
        <v>1157</v>
      </c>
      <c r="D2302">
        <v>716680</v>
      </c>
      <c r="E2302" t="s">
        <v>10</v>
      </c>
      <c r="F2302">
        <v>45.920299999999997</v>
      </c>
      <c r="G2302">
        <v>-66.608900000000006</v>
      </c>
      <c r="H2302">
        <v>-4</v>
      </c>
      <c r="I2302">
        <v>34.9</v>
      </c>
      <c r="J2302" t="str">
        <f>HYPERLINK("https://climate.onebuilding.org/WMO_Region_4_North_and_Central_America/CAN_Canada/NB_New_Brunswick/CAN_NB_Fredericton.CDA.CS.716680_TMYx.zip")</f>
        <v>https://climate.onebuilding.org/WMO_Region_4_North_and_Central_America/CAN_Canada/NB_New_Brunswick/CAN_NB_Fredericton.CDA.CS.716680_TMYx.zip</v>
      </c>
    </row>
    <row r="2303" spans="1:10" x14ac:dyDescent="0.25">
      <c r="A2303" t="s">
        <v>6</v>
      </c>
      <c r="B2303" t="s">
        <v>17</v>
      </c>
      <c r="C2303" t="s">
        <v>1159</v>
      </c>
      <c r="D2303">
        <v>716690</v>
      </c>
      <c r="E2303" t="s">
        <v>1160</v>
      </c>
      <c r="F2303">
        <v>50.366999999999997</v>
      </c>
      <c r="G2303">
        <v>-114.417</v>
      </c>
      <c r="H2303">
        <v>-7</v>
      </c>
      <c r="I2303">
        <v>1415</v>
      </c>
      <c r="J2303" t="str">
        <f>HYPERLINK("https://climate.onebuilding.org/WMO_Region_4_North_and_Central_America/CAN_Canada/AB_Alberta/CAN_AB_Pekisko.716690_TMYx.2004-2018.zip")</f>
        <v>https://climate.onebuilding.org/WMO_Region_4_North_and_Central_America/CAN_Canada/AB_Alberta/CAN_AB_Pekisko.716690_TMYx.2004-2018.zip</v>
      </c>
    </row>
    <row r="2304" spans="1:10" x14ac:dyDescent="0.25">
      <c r="A2304" t="s">
        <v>6</v>
      </c>
      <c r="B2304" t="s">
        <v>17</v>
      </c>
      <c r="C2304" t="s">
        <v>1159</v>
      </c>
      <c r="D2304">
        <v>716690</v>
      </c>
      <c r="E2304" t="s">
        <v>10</v>
      </c>
      <c r="F2304">
        <v>50.37</v>
      </c>
      <c r="G2304">
        <v>-114.42</v>
      </c>
      <c r="H2304">
        <v>-7</v>
      </c>
      <c r="I2304">
        <v>1415</v>
      </c>
      <c r="J2304" t="str">
        <f>HYPERLINK("https://climate.onebuilding.org/WMO_Region_4_North_and_Central_America/CAN_Canada/AB_Alberta/CAN_AB_Pekisko.716690_TMYx.2007-2021.zip")</f>
        <v>https://climate.onebuilding.org/WMO_Region_4_North_and_Central_America/CAN_Canada/AB_Alberta/CAN_AB_Pekisko.716690_TMYx.2007-2021.zip</v>
      </c>
    </row>
    <row r="2305" spans="1:10" x14ac:dyDescent="0.25">
      <c r="A2305" t="s">
        <v>6</v>
      </c>
      <c r="B2305" t="s">
        <v>17</v>
      </c>
      <c r="C2305" t="s">
        <v>1159</v>
      </c>
      <c r="D2305">
        <v>716690</v>
      </c>
      <c r="E2305" t="s">
        <v>10</v>
      </c>
      <c r="F2305">
        <v>50.37</v>
      </c>
      <c r="G2305">
        <v>-114.42</v>
      </c>
      <c r="H2305">
        <v>-7</v>
      </c>
      <c r="I2305">
        <v>1415</v>
      </c>
      <c r="J2305" t="str">
        <f>HYPERLINK("https://climate.onebuilding.org/WMO_Region_4_North_and_Central_America/CAN_Canada/AB_Alberta/CAN_AB_Pekisko.716690_TMYx.2009-2023.zip")</f>
        <v>https://climate.onebuilding.org/WMO_Region_4_North_and_Central_America/CAN_Canada/AB_Alberta/CAN_AB_Pekisko.716690_TMYx.2009-2023.zip</v>
      </c>
    </row>
    <row r="2306" spans="1:10" x14ac:dyDescent="0.25">
      <c r="A2306" t="s">
        <v>6</v>
      </c>
      <c r="B2306" t="s">
        <v>17</v>
      </c>
      <c r="C2306" t="s">
        <v>1159</v>
      </c>
      <c r="D2306">
        <v>716690</v>
      </c>
      <c r="E2306" t="s">
        <v>10</v>
      </c>
      <c r="F2306">
        <v>50.37</v>
      </c>
      <c r="G2306">
        <v>-114.42</v>
      </c>
      <c r="H2306">
        <v>-7</v>
      </c>
      <c r="I2306">
        <v>1415</v>
      </c>
      <c r="J2306" t="str">
        <f>HYPERLINK("https://climate.onebuilding.org/WMO_Region_4_North_and_Central_America/CAN_Canada/AB_Alberta/CAN_AB_Pekisko.716690_TMYx.zip")</f>
        <v>https://climate.onebuilding.org/WMO_Region_4_North_and_Central_America/CAN_Canada/AB_Alberta/CAN_AB_Pekisko.716690_TMYx.zip</v>
      </c>
    </row>
    <row r="2307" spans="1:10" x14ac:dyDescent="0.25">
      <c r="A2307" t="s">
        <v>6</v>
      </c>
      <c r="B2307" t="s">
        <v>45</v>
      </c>
      <c r="C2307" t="s">
        <v>1161</v>
      </c>
      <c r="D2307">
        <v>716700</v>
      </c>
      <c r="E2307" t="s">
        <v>1162</v>
      </c>
      <c r="F2307">
        <v>46.789169999999999</v>
      </c>
      <c r="G2307">
        <v>-65.013050000000007</v>
      </c>
      <c r="H2307">
        <v>-4</v>
      </c>
      <c r="I2307">
        <v>34</v>
      </c>
      <c r="J2307" t="str">
        <f>HYPERLINK("https://climate.onebuilding.org/WMO_Region_4_North_and_Central_America/CAN_Canada/NB_New_Brunswick/CAN_NB_Kouchibouguac.CS.716700_TMYx.2004-2018.zip")</f>
        <v>https://climate.onebuilding.org/WMO_Region_4_North_and_Central_America/CAN_Canada/NB_New_Brunswick/CAN_NB_Kouchibouguac.CS.716700_TMYx.2004-2018.zip</v>
      </c>
    </row>
    <row r="2308" spans="1:10" x14ac:dyDescent="0.25">
      <c r="A2308" t="s">
        <v>6</v>
      </c>
      <c r="B2308" t="s">
        <v>45</v>
      </c>
      <c r="C2308" t="s">
        <v>1161</v>
      </c>
      <c r="D2308">
        <v>716700</v>
      </c>
      <c r="E2308" t="s">
        <v>10</v>
      </c>
      <c r="F2308">
        <v>46.789169999999999</v>
      </c>
      <c r="G2308">
        <v>-65.013050000000007</v>
      </c>
      <c r="H2308">
        <v>-4</v>
      </c>
      <c r="I2308">
        <v>34</v>
      </c>
      <c r="J2308" t="str">
        <f>HYPERLINK("https://climate.onebuilding.org/WMO_Region_4_North_and_Central_America/CAN_Canada/NB_New_Brunswick/CAN_NB_Kouchibouguac.CS.716700_TMYx.2007-2021.zip")</f>
        <v>https://climate.onebuilding.org/WMO_Region_4_North_and_Central_America/CAN_Canada/NB_New_Brunswick/CAN_NB_Kouchibouguac.CS.716700_TMYx.2007-2021.zip</v>
      </c>
    </row>
    <row r="2309" spans="1:10" x14ac:dyDescent="0.25">
      <c r="A2309" t="s">
        <v>6</v>
      </c>
      <c r="B2309" t="s">
        <v>45</v>
      </c>
      <c r="C2309" t="s">
        <v>1161</v>
      </c>
      <c r="D2309">
        <v>716700</v>
      </c>
      <c r="E2309" t="s">
        <v>10</v>
      </c>
      <c r="F2309">
        <v>46.789169999999999</v>
      </c>
      <c r="G2309">
        <v>-65.013050000000007</v>
      </c>
      <c r="H2309">
        <v>-4</v>
      </c>
      <c r="I2309">
        <v>34</v>
      </c>
      <c r="J2309" t="str">
        <f>HYPERLINK("https://climate.onebuilding.org/WMO_Region_4_North_and_Central_America/CAN_Canada/NB_New_Brunswick/CAN_NB_Kouchibouguac.CS.716700_TMYx.2009-2023.zip")</f>
        <v>https://climate.onebuilding.org/WMO_Region_4_North_and_Central_America/CAN_Canada/NB_New_Brunswick/CAN_NB_Kouchibouguac.CS.716700_TMYx.2009-2023.zip</v>
      </c>
    </row>
    <row r="2310" spans="1:10" x14ac:dyDescent="0.25">
      <c r="A2310" t="s">
        <v>6</v>
      </c>
      <c r="B2310" t="s">
        <v>45</v>
      </c>
      <c r="C2310" t="s">
        <v>1161</v>
      </c>
      <c r="D2310">
        <v>716700</v>
      </c>
      <c r="E2310" t="s">
        <v>10</v>
      </c>
      <c r="F2310">
        <v>46.789169999999999</v>
      </c>
      <c r="G2310">
        <v>-65.013050000000007</v>
      </c>
      <c r="H2310">
        <v>-4</v>
      </c>
      <c r="I2310">
        <v>34</v>
      </c>
      <c r="J2310" t="str">
        <f>HYPERLINK("https://climate.onebuilding.org/WMO_Region_4_North_and_Central_America/CAN_Canada/NB_New_Brunswick/CAN_NB_Kouchibouguac.CS.716700_TMYx.zip")</f>
        <v>https://climate.onebuilding.org/WMO_Region_4_North_and_Central_America/CAN_Canada/NB_New_Brunswick/CAN_NB_Kouchibouguac.CS.716700_TMYx.zip</v>
      </c>
    </row>
    <row r="2311" spans="1:10" x14ac:dyDescent="0.25">
      <c r="A2311" t="s">
        <v>6</v>
      </c>
      <c r="B2311" t="s">
        <v>68</v>
      </c>
      <c r="C2311" t="s">
        <v>1163</v>
      </c>
      <c r="D2311">
        <v>716710</v>
      </c>
      <c r="E2311" t="s">
        <v>1164</v>
      </c>
      <c r="F2311">
        <v>45.07</v>
      </c>
      <c r="G2311">
        <v>-64.48</v>
      </c>
      <c r="H2311">
        <v>-4</v>
      </c>
      <c r="I2311">
        <v>48.7</v>
      </c>
      <c r="J2311" t="str">
        <f>HYPERLINK("https://climate.onebuilding.org/WMO_Region_4_North_and_Central_America/CAN_Canada/NS_Nova_Scotia/CAN_NS_Kentville.CDA.CS.716710_TMYx.2004-2018.zip")</f>
        <v>https://climate.onebuilding.org/WMO_Region_4_North_and_Central_America/CAN_Canada/NS_Nova_Scotia/CAN_NS_Kentville.CDA.CS.716710_TMYx.2004-2018.zip</v>
      </c>
    </row>
    <row r="2312" spans="1:10" x14ac:dyDescent="0.25">
      <c r="A2312" t="s">
        <v>6</v>
      </c>
      <c r="B2312" t="s">
        <v>68</v>
      </c>
      <c r="C2312" t="s">
        <v>1163</v>
      </c>
      <c r="D2312">
        <v>716710</v>
      </c>
      <c r="E2312" t="s">
        <v>10</v>
      </c>
      <c r="F2312">
        <v>45.07</v>
      </c>
      <c r="G2312">
        <v>-64.48</v>
      </c>
      <c r="H2312">
        <v>-4</v>
      </c>
      <c r="I2312">
        <v>48.7</v>
      </c>
      <c r="J2312" t="str">
        <f>HYPERLINK("https://climate.onebuilding.org/WMO_Region_4_North_and_Central_America/CAN_Canada/NS_Nova_Scotia/CAN_NS_Kentville.CDA.CS.716710_TMYx.2007-2021.zip")</f>
        <v>https://climate.onebuilding.org/WMO_Region_4_North_and_Central_America/CAN_Canada/NS_Nova_Scotia/CAN_NS_Kentville.CDA.CS.716710_TMYx.2007-2021.zip</v>
      </c>
    </row>
    <row r="2313" spans="1:10" x14ac:dyDescent="0.25">
      <c r="A2313" t="s">
        <v>6</v>
      </c>
      <c r="B2313" t="s">
        <v>68</v>
      </c>
      <c r="C2313" t="s">
        <v>1163</v>
      </c>
      <c r="D2313">
        <v>716710</v>
      </c>
      <c r="E2313" t="s">
        <v>10</v>
      </c>
      <c r="F2313">
        <v>45.07</v>
      </c>
      <c r="G2313">
        <v>-64.48</v>
      </c>
      <c r="H2313">
        <v>-4</v>
      </c>
      <c r="I2313">
        <v>48.7</v>
      </c>
      <c r="J2313" t="str">
        <f>HYPERLINK("https://climate.onebuilding.org/WMO_Region_4_North_and_Central_America/CAN_Canada/NS_Nova_Scotia/CAN_NS_Kentville.CDA.CS.716710_TMYx.2009-2023.zip")</f>
        <v>https://climate.onebuilding.org/WMO_Region_4_North_and_Central_America/CAN_Canada/NS_Nova_Scotia/CAN_NS_Kentville.CDA.CS.716710_TMYx.2009-2023.zip</v>
      </c>
    </row>
    <row r="2314" spans="1:10" x14ac:dyDescent="0.25">
      <c r="A2314" t="s">
        <v>6</v>
      </c>
      <c r="B2314" t="s">
        <v>68</v>
      </c>
      <c r="C2314" t="s">
        <v>1163</v>
      </c>
      <c r="D2314">
        <v>716710</v>
      </c>
      <c r="E2314" t="s">
        <v>10</v>
      </c>
      <c r="F2314">
        <v>45.07</v>
      </c>
      <c r="G2314">
        <v>-64.48</v>
      </c>
      <c r="H2314">
        <v>-4</v>
      </c>
      <c r="I2314">
        <v>48.7</v>
      </c>
      <c r="J2314" t="str">
        <f>HYPERLINK("https://climate.onebuilding.org/WMO_Region_4_North_and_Central_America/CAN_Canada/NS_Nova_Scotia/CAN_NS_Kentville.CDA.CS.716710_TMYx.zip")</f>
        <v>https://climate.onebuilding.org/WMO_Region_4_North_and_Central_America/CAN_Canada/NS_Nova_Scotia/CAN_NS_Kentville.CDA.CS.716710_TMYx.zip</v>
      </c>
    </row>
    <row r="2315" spans="1:10" x14ac:dyDescent="0.25">
      <c r="A2315" t="s">
        <v>6</v>
      </c>
      <c r="B2315" t="s">
        <v>130</v>
      </c>
      <c r="C2315" t="s">
        <v>1165</v>
      </c>
      <c r="D2315">
        <v>716720</v>
      </c>
      <c r="E2315" t="s">
        <v>1166</v>
      </c>
      <c r="F2315">
        <v>44.35</v>
      </c>
      <c r="G2315">
        <v>-78.3</v>
      </c>
      <c r="H2315">
        <v>-5</v>
      </c>
      <c r="I2315">
        <v>217</v>
      </c>
      <c r="J2315" t="str">
        <f>HYPERLINK("https://climate.onebuilding.org/WMO_Region_4_North_and_Central_America/CAN_Canada/ON_Ontario/CAN_ON_Peterborough-Trent.Univ.716720_TMYx.2004-2018.zip")</f>
        <v>https://climate.onebuilding.org/WMO_Region_4_North_and_Central_America/CAN_Canada/ON_Ontario/CAN_ON_Peterborough-Trent.Univ.716720_TMYx.2004-2018.zip</v>
      </c>
    </row>
    <row r="2316" spans="1:10" x14ac:dyDescent="0.25">
      <c r="A2316" t="s">
        <v>6</v>
      </c>
      <c r="B2316" t="s">
        <v>130</v>
      </c>
      <c r="C2316" t="s">
        <v>1165</v>
      </c>
      <c r="D2316">
        <v>716720</v>
      </c>
      <c r="E2316" t="s">
        <v>10</v>
      </c>
      <c r="F2316">
        <v>44.351109999999998</v>
      </c>
      <c r="G2316">
        <v>-78.295000000000002</v>
      </c>
      <c r="H2316">
        <v>-5</v>
      </c>
      <c r="I2316">
        <v>217</v>
      </c>
      <c r="J2316" t="str">
        <f>HYPERLINK("https://climate.onebuilding.org/WMO_Region_4_North_and_Central_America/CAN_Canada/ON_Ontario/CAN_ON_Peterborough-Trent.Univ.716720_TMYx.2007-2021.zip")</f>
        <v>https://climate.onebuilding.org/WMO_Region_4_North_and_Central_America/CAN_Canada/ON_Ontario/CAN_ON_Peterborough-Trent.Univ.716720_TMYx.2007-2021.zip</v>
      </c>
    </row>
    <row r="2317" spans="1:10" x14ac:dyDescent="0.25">
      <c r="A2317" t="s">
        <v>6</v>
      </c>
      <c r="B2317" t="s">
        <v>130</v>
      </c>
      <c r="C2317" t="s">
        <v>1165</v>
      </c>
      <c r="D2317">
        <v>716720</v>
      </c>
      <c r="E2317" t="s">
        <v>10</v>
      </c>
      <c r="F2317">
        <v>44.351109999999998</v>
      </c>
      <c r="G2317">
        <v>-78.295000000000002</v>
      </c>
      <c r="H2317">
        <v>-5</v>
      </c>
      <c r="I2317">
        <v>217</v>
      </c>
      <c r="J2317" t="str">
        <f>HYPERLINK("https://climate.onebuilding.org/WMO_Region_4_North_and_Central_America/CAN_Canada/ON_Ontario/CAN_ON_Peterborough-Trent.Univ.716720_TMYx.2009-2023.zip")</f>
        <v>https://climate.onebuilding.org/WMO_Region_4_North_and_Central_America/CAN_Canada/ON_Ontario/CAN_ON_Peterborough-Trent.Univ.716720_TMYx.2009-2023.zip</v>
      </c>
    </row>
    <row r="2318" spans="1:10" x14ac:dyDescent="0.25">
      <c r="A2318" t="s">
        <v>6</v>
      </c>
      <c r="B2318" t="s">
        <v>130</v>
      </c>
      <c r="C2318" t="s">
        <v>1165</v>
      </c>
      <c r="D2318">
        <v>716720</v>
      </c>
      <c r="E2318" t="s">
        <v>10</v>
      </c>
      <c r="F2318">
        <v>44.351109999999998</v>
      </c>
      <c r="G2318">
        <v>-78.295000000000002</v>
      </c>
      <c r="H2318">
        <v>-5</v>
      </c>
      <c r="I2318">
        <v>217</v>
      </c>
      <c r="J2318" t="str">
        <f>HYPERLINK("https://climate.onebuilding.org/WMO_Region_4_North_and_Central_America/CAN_Canada/ON_Ontario/CAN_ON_Peterborough-Trent.Univ.716720_TMYx.zip")</f>
        <v>https://climate.onebuilding.org/WMO_Region_4_North_and_Central_America/CAN_Canada/ON_Ontario/CAN_ON_Peterborough-Trent.Univ.716720_TMYx.zip</v>
      </c>
    </row>
    <row r="2319" spans="1:10" x14ac:dyDescent="0.25">
      <c r="A2319" t="s">
        <v>6</v>
      </c>
      <c r="B2319" t="s">
        <v>17</v>
      </c>
      <c r="C2319" t="s">
        <v>1167</v>
      </c>
      <c r="D2319">
        <v>716730</v>
      </c>
      <c r="E2319" t="s">
        <v>1168</v>
      </c>
      <c r="F2319">
        <v>52.743600000000001</v>
      </c>
      <c r="G2319">
        <v>-112.8578</v>
      </c>
      <c r="H2319">
        <v>-7</v>
      </c>
      <c r="I2319">
        <v>795</v>
      </c>
      <c r="J2319" t="str">
        <f>HYPERLINK("https://climate.onebuilding.org/WMO_Region_4_North_and_Central_America/CAN_Canada/AB_Alberta/CAN_AB_Ferintosh.AgCM.716730_TMYx.2004-2018.zip")</f>
        <v>https://climate.onebuilding.org/WMO_Region_4_North_and_Central_America/CAN_Canada/AB_Alberta/CAN_AB_Ferintosh.AgCM.716730_TMYx.2004-2018.zip</v>
      </c>
    </row>
    <row r="2320" spans="1:10" x14ac:dyDescent="0.25">
      <c r="A2320" t="s">
        <v>6</v>
      </c>
      <c r="B2320" t="s">
        <v>17</v>
      </c>
      <c r="C2320" t="s">
        <v>1167</v>
      </c>
      <c r="D2320">
        <v>716730</v>
      </c>
      <c r="E2320" t="s">
        <v>10</v>
      </c>
      <c r="F2320">
        <v>52.743899999999996</v>
      </c>
      <c r="G2320">
        <v>-112.8578</v>
      </c>
      <c r="H2320">
        <v>-7</v>
      </c>
      <c r="I2320">
        <v>795</v>
      </c>
      <c r="J2320" t="str">
        <f>HYPERLINK("https://climate.onebuilding.org/WMO_Region_4_North_and_Central_America/CAN_Canada/AB_Alberta/CAN_AB_Ferintosh.AgCM.716730_TMYx.2007-2021.zip")</f>
        <v>https://climate.onebuilding.org/WMO_Region_4_North_and_Central_America/CAN_Canada/AB_Alberta/CAN_AB_Ferintosh.AgCM.716730_TMYx.2007-2021.zip</v>
      </c>
    </row>
    <row r="2321" spans="1:10" x14ac:dyDescent="0.25">
      <c r="A2321" t="s">
        <v>6</v>
      </c>
      <c r="B2321" t="s">
        <v>17</v>
      </c>
      <c r="C2321" t="s">
        <v>1167</v>
      </c>
      <c r="D2321">
        <v>716730</v>
      </c>
      <c r="E2321" t="s">
        <v>10</v>
      </c>
      <c r="F2321">
        <v>52.743899999999996</v>
      </c>
      <c r="G2321">
        <v>-112.8578</v>
      </c>
      <c r="H2321">
        <v>-7</v>
      </c>
      <c r="I2321">
        <v>795</v>
      </c>
      <c r="J2321" t="str">
        <f>HYPERLINK("https://climate.onebuilding.org/WMO_Region_4_North_and_Central_America/CAN_Canada/AB_Alberta/CAN_AB_Ferintosh.AgCM.716730_TMYx.2009-2023.zip")</f>
        <v>https://climate.onebuilding.org/WMO_Region_4_North_and_Central_America/CAN_Canada/AB_Alberta/CAN_AB_Ferintosh.AgCM.716730_TMYx.2009-2023.zip</v>
      </c>
    </row>
    <row r="2322" spans="1:10" x14ac:dyDescent="0.25">
      <c r="A2322" t="s">
        <v>6</v>
      </c>
      <c r="B2322" t="s">
        <v>17</v>
      </c>
      <c r="C2322" t="s">
        <v>1167</v>
      </c>
      <c r="D2322">
        <v>716730</v>
      </c>
      <c r="E2322" t="s">
        <v>10</v>
      </c>
      <c r="F2322">
        <v>52.743899999999996</v>
      </c>
      <c r="G2322">
        <v>-112.8578</v>
      </c>
      <c r="H2322">
        <v>-7</v>
      </c>
      <c r="I2322">
        <v>795</v>
      </c>
      <c r="J2322" t="str">
        <f>HYPERLINK("https://climate.onebuilding.org/WMO_Region_4_North_and_Central_America/CAN_Canada/AB_Alberta/CAN_AB_Ferintosh.AgCM.716730_TMYx.zip")</f>
        <v>https://climate.onebuilding.org/WMO_Region_4_North_and_Central_America/CAN_Canada/AB_Alberta/CAN_AB_Ferintosh.AgCM.716730_TMYx.zip</v>
      </c>
    </row>
    <row r="2323" spans="1:10" x14ac:dyDescent="0.25">
      <c r="A2323" t="s">
        <v>6</v>
      </c>
      <c r="B2323" t="s">
        <v>17</v>
      </c>
      <c r="C2323" t="s">
        <v>1169</v>
      </c>
      <c r="D2323">
        <v>716740</v>
      </c>
      <c r="E2323" t="s">
        <v>1170</v>
      </c>
      <c r="F2323">
        <v>52.548299999999998</v>
      </c>
      <c r="G2323">
        <v>-112.1233</v>
      </c>
      <c r="H2323">
        <v>-7</v>
      </c>
      <c r="I2323">
        <v>721</v>
      </c>
      <c r="J2323" t="str">
        <f>HYPERLINK("https://climate.onebuilding.org/WMO_Region_4_North_and_Central_America/CAN_Canada/AB_Alberta/CAN_AB_Forestburg.AgCM.716740_TMYx.2004-2018.zip")</f>
        <v>https://climate.onebuilding.org/WMO_Region_4_North_and_Central_America/CAN_Canada/AB_Alberta/CAN_AB_Forestburg.AgCM.716740_TMYx.2004-2018.zip</v>
      </c>
    </row>
    <row r="2324" spans="1:10" x14ac:dyDescent="0.25">
      <c r="A2324" t="s">
        <v>6</v>
      </c>
      <c r="B2324" t="s">
        <v>17</v>
      </c>
      <c r="C2324" t="s">
        <v>1169</v>
      </c>
      <c r="D2324">
        <v>716740</v>
      </c>
      <c r="E2324" t="s">
        <v>10</v>
      </c>
      <c r="F2324">
        <v>52.548499999999997</v>
      </c>
      <c r="G2324">
        <v>-112.1233</v>
      </c>
      <c r="H2324">
        <v>-7</v>
      </c>
      <c r="I2324">
        <v>721</v>
      </c>
      <c r="J2324" t="str">
        <f>HYPERLINK("https://climate.onebuilding.org/WMO_Region_4_North_and_Central_America/CAN_Canada/AB_Alberta/CAN_AB_Forestburg.AgCM.716740_TMYx.2007-2021.zip")</f>
        <v>https://climate.onebuilding.org/WMO_Region_4_North_and_Central_America/CAN_Canada/AB_Alberta/CAN_AB_Forestburg.AgCM.716740_TMYx.2007-2021.zip</v>
      </c>
    </row>
    <row r="2325" spans="1:10" x14ac:dyDescent="0.25">
      <c r="A2325" t="s">
        <v>6</v>
      </c>
      <c r="B2325" t="s">
        <v>17</v>
      </c>
      <c r="C2325" t="s">
        <v>1169</v>
      </c>
      <c r="D2325">
        <v>716740</v>
      </c>
      <c r="E2325" t="s">
        <v>10</v>
      </c>
      <c r="F2325">
        <v>52.548499999999997</v>
      </c>
      <c r="G2325">
        <v>-112.1233</v>
      </c>
      <c r="H2325">
        <v>-7</v>
      </c>
      <c r="I2325">
        <v>721</v>
      </c>
      <c r="J2325" t="str">
        <f>HYPERLINK("https://climate.onebuilding.org/WMO_Region_4_North_and_Central_America/CAN_Canada/AB_Alberta/CAN_AB_Forestburg.AgCM.716740_TMYx.2009-2023.zip")</f>
        <v>https://climate.onebuilding.org/WMO_Region_4_North_and_Central_America/CAN_Canada/AB_Alberta/CAN_AB_Forestburg.AgCM.716740_TMYx.2009-2023.zip</v>
      </c>
    </row>
    <row r="2326" spans="1:10" x14ac:dyDescent="0.25">
      <c r="A2326" t="s">
        <v>6</v>
      </c>
      <c r="B2326" t="s">
        <v>17</v>
      </c>
      <c r="C2326" t="s">
        <v>1169</v>
      </c>
      <c r="D2326">
        <v>716740</v>
      </c>
      <c r="E2326" t="s">
        <v>10</v>
      </c>
      <c r="F2326">
        <v>52.548499999999997</v>
      </c>
      <c r="G2326">
        <v>-112.1233</v>
      </c>
      <c r="H2326">
        <v>-7</v>
      </c>
      <c r="I2326">
        <v>721</v>
      </c>
      <c r="J2326" t="str">
        <f>HYPERLINK("https://climate.onebuilding.org/WMO_Region_4_North_and_Central_America/CAN_Canada/AB_Alberta/CAN_AB_Forestburg.AgCM.716740_TMYx.zip")</f>
        <v>https://climate.onebuilding.org/WMO_Region_4_North_and_Central_America/CAN_Canada/AB_Alberta/CAN_AB_Forestburg.AgCM.716740_TMYx.zip</v>
      </c>
    </row>
    <row r="2327" spans="1:10" x14ac:dyDescent="0.25">
      <c r="A2327" t="s">
        <v>6</v>
      </c>
      <c r="B2327" t="s">
        <v>130</v>
      </c>
      <c r="C2327" t="s">
        <v>394</v>
      </c>
      <c r="D2327">
        <v>716750</v>
      </c>
      <c r="E2327" t="s">
        <v>1171</v>
      </c>
      <c r="F2327">
        <v>53.817779999999999</v>
      </c>
      <c r="G2327">
        <v>-89.896940000000001</v>
      </c>
      <c r="H2327">
        <v>-6</v>
      </c>
      <c r="I2327">
        <v>224</v>
      </c>
      <c r="J2327" t="str">
        <f>HYPERLINK("https://climate.onebuilding.org/WMO_Region_4_North_and_Central_America/CAN_Canada/ON_Ontario/CAN_ON_Big.Trout.Lake.AP.716750_TMYx.2004-2018.zip")</f>
        <v>https://climate.onebuilding.org/WMO_Region_4_North_and_Central_America/CAN_Canada/ON_Ontario/CAN_ON_Big.Trout.Lake.AP.716750_TMYx.2004-2018.zip</v>
      </c>
    </row>
    <row r="2328" spans="1:10" x14ac:dyDescent="0.25">
      <c r="A2328" t="s">
        <v>6</v>
      </c>
      <c r="B2328" t="s">
        <v>130</v>
      </c>
      <c r="C2328" t="s">
        <v>394</v>
      </c>
      <c r="D2328">
        <v>716750</v>
      </c>
      <c r="E2328" t="s">
        <v>10</v>
      </c>
      <c r="F2328">
        <v>53.817779999999999</v>
      </c>
      <c r="G2328">
        <v>-89.896940000000001</v>
      </c>
      <c r="H2328">
        <v>-6</v>
      </c>
      <c r="I2328">
        <v>224</v>
      </c>
      <c r="J2328" t="str">
        <f>HYPERLINK("https://climate.onebuilding.org/WMO_Region_4_North_and_Central_America/CAN_Canada/ON_Ontario/CAN_ON_Big.Trout.Lake.AP.716750_TMYx.2007-2021.zip")</f>
        <v>https://climate.onebuilding.org/WMO_Region_4_North_and_Central_America/CAN_Canada/ON_Ontario/CAN_ON_Big.Trout.Lake.AP.716750_TMYx.2007-2021.zip</v>
      </c>
    </row>
    <row r="2329" spans="1:10" x14ac:dyDescent="0.25">
      <c r="A2329" t="s">
        <v>6</v>
      </c>
      <c r="B2329" t="s">
        <v>130</v>
      </c>
      <c r="C2329" t="s">
        <v>394</v>
      </c>
      <c r="D2329">
        <v>716750</v>
      </c>
      <c r="E2329" t="s">
        <v>10</v>
      </c>
      <c r="F2329">
        <v>53.817779999999999</v>
      </c>
      <c r="G2329">
        <v>-89.896940000000001</v>
      </c>
      <c r="H2329">
        <v>-6</v>
      </c>
      <c r="I2329">
        <v>224</v>
      </c>
      <c r="J2329" t="str">
        <f>HYPERLINK("https://climate.onebuilding.org/WMO_Region_4_North_and_Central_America/CAN_Canada/ON_Ontario/CAN_ON_Big.Trout.Lake.AP.716750_TMYx.2009-2023.zip")</f>
        <v>https://climate.onebuilding.org/WMO_Region_4_North_and_Central_America/CAN_Canada/ON_Ontario/CAN_ON_Big.Trout.Lake.AP.716750_TMYx.2009-2023.zip</v>
      </c>
    </row>
    <row r="2330" spans="1:10" x14ac:dyDescent="0.25">
      <c r="A2330" t="s">
        <v>6</v>
      </c>
      <c r="B2330" t="s">
        <v>130</v>
      </c>
      <c r="C2330" t="s">
        <v>394</v>
      </c>
      <c r="D2330">
        <v>716750</v>
      </c>
      <c r="E2330" t="s">
        <v>10</v>
      </c>
      <c r="F2330">
        <v>53.817779999999999</v>
      </c>
      <c r="G2330">
        <v>-89.896940000000001</v>
      </c>
      <c r="H2330">
        <v>-6</v>
      </c>
      <c r="I2330">
        <v>224</v>
      </c>
      <c r="J2330" t="str">
        <f>HYPERLINK("https://climate.onebuilding.org/WMO_Region_4_North_and_Central_America/CAN_Canada/ON_Ontario/CAN_ON_Big.Trout.Lake.AP.716750_TMYx.zip")</f>
        <v>https://climate.onebuilding.org/WMO_Region_4_North_and_Central_America/CAN_Canada/ON_Ontario/CAN_ON_Big.Trout.Lake.AP.716750_TMYx.zip</v>
      </c>
    </row>
    <row r="2331" spans="1:10" x14ac:dyDescent="0.25">
      <c r="A2331" t="s">
        <v>6</v>
      </c>
      <c r="B2331" t="s">
        <v>130</v>
      </c>
      <c r="C2331" t="s">
        <v>1172</v>
      </c>
      <c r="D2331">
        <v>716780</v>
      </c>
      <c r="E2331" t="s">
        <v>1173</v>
      </c>
      <c r="F2331">
        <v>53.441400000000002</v>
      </c>
      <c r="G2331">
        <v>-91.762799999999999</v>
      </c>
      <c r="H2331">
        <v>-6</v>
      </c>
      <c r="I2331">
        <v>277.7</v>
      </c>
      <c r="J2331" t="str">
        <f>HYPERLINK("https://climate.onebuilding.org/WMO_Region_4_North_and_Central_America/CAN_Canada/ON_Ontario/CAN_ON_Muskrat.Dam.AP.716780_TMYx.2004-2018.zip")</f>
        <v>https://climate.onebuilding.org/WMO_Region_4_North_and_Central_America/CAN_Canada/ON_Ontario/CAN_ON_Muskrat.Dam.AP.716780_TMYx.2004-2018.zip</v>
      </c>
    </row>
    <row r="2332" spans="1:10" x14ac:dyDescent="0.25">
      <c r="A2332" t="s">
        <v>6</v>
      </c>
      <c r="B2332" t="s">
        <v>130</v>
      </c>
      <c r="C2332" t="s">
        <v>1172</v>
      </c>
      <c r="D2332">
        <v>716780</v>
      </c>
      <c r="E2332" t="s">
        <v>10</v>
      </c>
      <c r="F2332">
        <v>53.441400000000002</v>
      </c>
      <c r="G2332">
        <v>-91.762799999999999</v>
      </c>
      <c r="H2332">
        <v>-6</v>
      </c>
      <c r="I2332">
        <v>277.7</v>
      </c>
      <c r="J2332" t="str">
        <f>HYPERLINK("https://climate.onebuilding.org/WMO_Region_4_North_and_Central_America/CAN_Canada/ON_Ontario/CAN_ON_Muskrat.Dam.AP.716780_TMYx.2007-2021.zip")</f>
        <v>https://climate.onebuilding.org/WMO_Region_4_North_and_Central_America/CAN_Canada/ON_Ontario/CAN_ON_Muskrat.Dam.AP.716780_TMYx.2007-2021.zip</v>
      </c>
    </row>
    <row r="2333" spans="1:10" x14ac:dyDescent="0.25">
      <c r="A2333" t="s">
        <v>6</v>
      </c>
      <c r="B2333" t="s">
        <v>130</v>
      </c>
      <c r="C2333" t="s">
        <v>1172</v>
      </c>
      <c r="D2333">
        <v>716780</v>
      </c>
      <c r="E2333" t="s">
        <v>10</v>
      </c>
      <c r="F2333">
        <v>53.441400000000002</v>
      </c>
      <c r="G2333">
        <v>-91.762799999999999</v>
      </c>
      <c r="H2333">
        <v>-6</v>
      </c>
      <c r="I2333">
        <v>277.7</v>
      </c>
      <c r="J2333" t="str">
        <f>HYPERLINK("https://climate.onebuilding.org/WMO_Region_4_North_and_Central_America/CAN_Canada/ON_Ontario/CAN_ON_Muskrat.Dam.AP.716780_TMYx.2009-2023.zip")</f>
        <v>https://climate.onebuilding.org/WMO_Region_4_North_and_Central_America/CAN_Canada/ON_Ontario/CAN_ON_Muskrat.Dam.AP.716780_TMYx.2009-2023.zip</v>
      </c>
    </row>
    <row r="2334" spans="1:10" x14ac:dyDescent="0.25">
      <c r="A2334" t="s">
        <v>6</v>
      </c>
      <c r="B2334" t="s">
        <v>130</v>
      </c>
      <c r="C2334" t="s">
        <v>1172</v>
      </c>
      <c r="D2334">
        <v>716780</v>
      </c>
      <c r="E2334" t="s">
        <v>10</v>
      </c>
      <c r="F2334">
        <v>53.441400000000002</v>
      </c>
      <c r="G2334">
        <v>-91.762799999999999</v>
      </c>
      <c r="H2334">
        <v>-6</v>
      </c>
      <c r="I2334">
        <v>277.7</v>
      </c>
      <c r="J2334" t="str">
        <f>HYPERLINK("https://climate.onebuilding.org/WMO_Region_4_North_and_Central_America/CAN_Canada/ON_Ontario/CAN_ON_Muskrat.Dam.AP.716780_TMYx.zip")</f>
        <v>https://climate.onebuilding.org/WMO_Region_4_North_and_Central_America/CAN_Canada/ON_Ontario/CAN_ON_Muskrat.Dam.AP.716780_TMYx.zip</v>
      </c>
    </row>
    <row r="2335" spans="1:10" x14ac:dyDescent="0.25">
      <c r="A2335" t="s">
        <v>6</v>
      </c>
      <c r="B2335" t="s">
        <v>55</v>
      </c>
      <c r="C2335" t="s">
        <v>1174</v>
      </c>
      <c r="D2335">
        <v>716790</v>
      </c>
      <c r="E2335" t="s">
        <v>1175</v>
      </c>
      <c r="F2335">
        <v>53.771999999999998</v>
      </c>
      <c r="G2335">
        <v>-125.9967</v>
      </c>
      <c r="H2335">
        <v>-8</v>
      </c>
      <c r="I2335">
        <v>861</v>
      </c>
      <c r="J2335" t="str">
        <f>HYPERLINK("https://climate.onebuilding.org/WMO_Region_4_North_and_Central_America/CAN_Canada/BC_British_Columbia/CAN_BC_Ootsa.Lake-Skins.Lake.716790_TMYx.2004-2018.zip")</f>
        <v>https://climate.onebuilding.org/WMO_Region_4_North_and_Central_America/CAN_Canada/BC_British_Columbia/CAN_BC_Ootsa.Lake-Skins.Lake.716790_TMYx.2004-2018.zip</v>
      </c>
    </row>
    <row r="2336" spans="1:10" x14ac:dyDescent="0.25">
      <c r="A2336" t="s">
        <v>6</v>
      </c>
      <c r="B2336" t="s">
        <v>55</v>
      </c>
      <c r="C2336" t="s">
        <v>1174</v>
      </c>
      <c r="D2336">
        <v>716790</v>
      </c>
      <c r="E2336" t="s">
        <v>10</v>
      </c>
      <c r="F2336">
        <v>53.771999999999998</v>
      </c>
      <c r="G2336">
        <v>-125.9967</v>
      </c>
      <c r="H2336">
        <v>-8</v>
      </c>
      <c r="I2336">
        <v>861</v>
      </c>
      <c r="J2336" t="str">
        <f>HYPERLINK("https://climate.onebuilding.org/WMO_Region_4_North_and_Central_America/CAN_Canada/BC_British_Columbia/CAN_BC_Ootsa.Lake-Skins.Lake.716790_TMYx.2007-2021.zip")</f>
        <v>https://climate.onebuilding.org/WMO_Region_4_North_and_Central_America/CAN_Canada/BC_British_Columbia/CAN_BC_Ootsa.Lake-Skins.Lake.716790_TMYx.2007-2021.zip</v>
      </c>
    </row>
    <row r="2337" spans="1:10" x14ac:dyDescent="0.25">
      <c r="A2337" t="s">
        <v>6</v>
      </c>
      <c r="B2337" t="s">
        <v>55</v>
      </c>
      <c r="C2337" t="s">
        <v>1174</v>
      </c>
      <c r="D2337">
        <v>716790</v>
      </c>
      <c r="E2337" t="s">
        <v>10</v>
      </c>
      <c r="F2337">
        <v>53.771999999999998</v>
      </c>
      <c r="G2337">
        <v>-125.9967</v>
      </c>
      <c r="H2337">
        <v>-8</v>
      </c>
      <c r="I2337">
        <v>861</v>
      </c>
      <c r="J2337" t="str">
        <f>HYPERLINK("https://climate.onebuilding.org/WMO_Region_4_North_and_Central_America/CAN_Canada/BC_British_Columbia/CAN_BC_Ootsa.Lake-Skins.Lake.716790_TMYx.2009-2023.zip")</f>
        <v>https://climate.onebuilding.org/WMO_Region_4_North_and_Central_America/CAN_Canada/BC_British_Columbia/CAN_BC_Ootsa.Lake-Skins.Lake.716790_TMYx.2009-2023.zip</v>
      </c>
    </row>
    <row r="2338" spans="1:10" x14ac:dyDescent="0.25">
      <c r="A2338" t="s">
        <v>6</v>
      </c>
      <c r="B2338" t="s">
        <v>55</v>
      </c>
      <c r="C2338" t="s">
        <v>1174</v>
      </c>
      <c r="D2338">
        <v>716790</v>
      </c>
      <c r="E2338" t="s">
        <v>10</v>
      </c>
      <c r="F2338">
        <v>53.771999999999998</v>
      </c>
      <c r="G2338">
        <v>-125.9967</v>
      </c>
      <c r="H2338">
        <v>-8</v>
      </c>
      <c r="I2338">
        <v>861</v>
      </c>
      <c r="J2338" t="str">
        <f>HYPERLINK("https://climate.onebuilding.org/WMO_Region_4_North_and_Central_America/CAN_Canada/BC_British_Columbia/CAN_BC_Ootsa.Lake-Skins.Lake.716790_TMYx.zip")</f>
        <v>https://climate.onebuilding.org/WMO_Region_4_North_and_Central_America/CAN_Canada/BC_British_Columbia/CAN_BC_Ootsa.Lake-Skins.Lake.716790_TMYx.zip</v>
      </c>
    </row>
    <row r="2339" spans="1:10" x14ac:dyDescent="0.25">
      <c r="A2339" t="s">
        <v>6</v>
      </c>
      <c r="B2339" t="s">
        <v>48</v>
      </c>
      <c r="C2339" t="s">
        <v>1176</v>
      </c>
      <c r="D2339">
        <v>716800</v>
      </c>
      <c r="E2339" t="s">
        <v>1177</v>
      </c>
      <c r="F2339">
        <v>63.602800000000002</v>
      </c>
      <c r="G2339">
        <v>-113.8625</v>
      </c>
      <c r="H2339">
        <v>-7</v>
      </c>
      <c r="I2339">
        <v>373.4</v>
      </c>
      <c r="J2339" t="str">
        <f>HYPERLINK("https://climate.onebuilding.org/WMO_Region_4_North_and_Central_America/CAN_Canada/NT_Northwest_Territories/CAN_NT_Lower.Carp.Lake.716800_TMYx.2004-2018.zip")</f>
        <v>https://climate.onebuilding.org/WMO_Region_4_North_and_Central_America/CAN_Canada/NT_Northwest_Territories/CAN_NT_Lower.Carp.Lake.716800_TMYx.2004-2018.zip</v>
      </c>
    </row>
    <row r="2340" spans="1:10" x14ac:dyDescent="0.25">
      <c r="A2340" t="s">
        <v>6</v>
      </c>
      <c r="B2340" t="s">
        <v>48</v>
      </c>
      <c r="C2340" t="s">
        <v>1176</v>
      </c>
      <c r="D2340">
        <v>716800</v>
      </c>
      <c r="E2340" t="s">
        <v>10</v>
      </c>
      <c r="F2340">
        <v>63.6</v>
      </c>
      <c r="G2340">
        <v>-113.85</v>
      </c>
      <c r="H2340">
        <v>-7</v>
      </c>
      <c r="I2340">
        <v>373.4</v>
      </c>
      <c r="J2340" t="str">
        <f>HYPERLINK("https://climate.onebuilding.org/WMO_Region_4_North_and_Central_America/CAN_Canada/NT_Northwest_Territories/CAN_NT_Lower.Carp.Lake.716800_TMYx.2007-2021.zip")</f>
        <v>https://climate.onebuilding.org/WMO_Region_4_North_and_Central_America/CAN_Canada/NT_Northwest_Territories/CAN_NT_Lower.Carp.Lake.716800_TMYx.2007-2021.zip</v>
      </c>
    </row>
    <row r="2341" spans="1:10" x14ac:dyDescent="0.25">
      <c r="A2341" t="s">
        <v>6</v>
      </c>
      <c r="B2341" t="s">
        <v>48</v>
      </c>
      <c r="C2341" t="s">
        <v>1176</v>
      </c>
      <c r="D2341">
        <v>716800</v>
      </c>
      <c r="E2341" t="s">
        <v>10</v>
      </c>
      <c r="F2341">
        <v>63.6</v>
      </c>
      <c r="G2341">
        <v>-113.85</v>
      </c>
      <c r="H2341">
        <v>-7</v>
      </c>
      <c r="I2341">
        <v>373.4</v>
      </c>
      <c r="J2341" t="str">
        <f>HYPERLINK("https://climate.onebuilding.org/WMO_Region_4_North_and_Central_America/CAN_Canada/NT_Northwest_Territories/CAN_NT_Lower.Carp.Lake.716800_TMYx.2009-2023.zip")</f>
        <v>https://climate.onebuilding.org/WMO_Region_4_North_and_Central_America/CAN_Canada/NT_Northwest_Territories/CAN_NT_Lower.Carp.Lake.716800_TMYx.2009-2023.zip</v>
      </c>
    </row>
    <row r="2342" spans="1:10" x14ac:dyDescent="0.25">
      <c r="A2342" t="s">
        <v>6</v>
      </c>
      <c r="B2342" t="s">
        <v>48</v>
      </c>
      <c r="C2342" t="s">
        <v>1176</v>
      </c>
      <c r="D2342">
        <v>716800</v>
      </c>
      <c r="E2342" t="s">
        <v>10</v>
      </c>
      <c r="F2342">
        <v>63.6</v>
      </c>
      <c r="G2342">
        <v>-113.85</v>
      </c>
      <c r="H2342">
        <v>-7</v>
      </c>
      <c r="I2342">
        <v>373.4</v>
      </c>
      <c r="J2342" t="str">
        <f>HYPERLINK("https://climate.onebuilding.org/WMO_Region_4_North_and_Central_America/CAN_Canada/NT_Northwest_Territories/CAN_NT_Lower.Carp.Lake.716800_TMYx.zip")</f>
        <v>https://climate.onebuilding.org/WMO_Region_4_North_and_Central_America/CAN_Canada/NT_Northwest_Territories/CAN_NT_Lower.Carp.Lake.716800_TMYx.zip</v>
      </c>
    </row>
    <row r="2343" spans="1:10" x14ac:dyDescent="0.25">
      <c r="A2343" t="s">
        <v>6</v>
      </c>
      <c r="B2343" t="s">
        <v>55</v>
      </c>
      <c r="C2343" t="s">
        <v>1178</v>
      </c>
      <c r="D2343">
        <v>716810</v>
      </c>
      <c r="E2343" t="s">
        <v>1179</v>
      </c>
      <c r="F2343">
        <v>50.7</v>
      </c>
      <c r="G2343">
        <v>-121.267</v>
      </c>
      <c r="H2343">
        <v>-8</v>
      </c>
      <c r="I2343">
        <v>327</v>
      </c>
      <c r="J2343" t="str">
        <f>HYPERLINK("https://climate.onebuilding.org/WMO_Region_4_North_and_Central_America/CAN_Canada/BC_British_Columbia/CAN_BC_Ashcroft.716810_TMYx.2004-2018.zip")</f>
        <v>https://climate.onebuilding.org/WMO_Region_4_North_and_Central_America/CAN_Canada/BC_British_Columbia/CAN_BC_Ashcroft.716810_TMYx.2004-2018.zip</v>
      </c>
    </row>
    <row r="2344" spans="1:10" x14ac:dyDescent="0.25">
      <c r="A2344" t="s">
        <v>6</v>
      </c>
      <c r="B2344" t="s">
        <v>55</v>
      </c>
      <c r="C2344" t="s">
        <v>1178</v>
      </c>
      <c r="D2344">
        <v>716810</v>
      </c>
      <c r="E2344" t="s">
        <v>10</v>
      </c>
      <c r="F2344">
        <v>50.70834</v>
      </c>
      <c r="G2344">
        <v>-121.2814</v>
      </c>
      <c r="H2344">
        <v>-8</v>
      </c>
      <c r="I2344">
        <v>327</v>
      </c>
      <c r="J2344" t="str">
        <f>HYPERLINK("https://climate.onebuilding.org/WMO_Region_4_North_and_Central_America/CAN_Canada/BC_British_Columbia/CAN_BC_Ashcroft.716810_TMYx.2007-2021.zip")</f>
        <v>https://climate.onebuilding.org/WMO_Region_4_North_and_Central_America/CAN_Canada/BC_British_Columbia/CAN_BC_Ashcroft.716810_TMYx.2007-2021.zip</v>
      </c>
    </row>
    <row r="2345" spans="1:10" x14ac:dyDescent="0.25">
      <c r="A2345" t="s">
        <v>6</v>
      </c>
      <c r="B2345" t="s">
        <v>55</v>
      </c>
      <c r="C2345" t="s">
        <v>1178</v>
      </c>
      <c r="D2345">
        <v>716810</v>
      </c>
      <c r="E2345" t="s">
        <v>10</v>
      </c>
      <c r="F2345">
        <v>50.70834</v>
      </c>
      <c r="G2345">
        <v>-121.2814</v>
      </c>
      <c r="H2345">
        <v>-8</v>
      </c>
      <c r="I2345">
        <v>327</v>
      </c>
      <c r="J2345" t="str">
        <f>HYPERLINK("https://climate.onebuilding.org/WMO_Region_4_North_and_Central_America/CAN_Canada/BC_British_Columbia/CAN_BC_Ashcroft.716810_TMYx.2009-2023.zip")</f>
        <v>https://climate.onebuilding.org/WMO_Region_4_North_and_Central_America/CAN_Canada/BC_British_Columbia/CAN_BC_Ashcroft.716810_TMYx.2009-2023.zip</v>
      </c>
    </row>
    <row r="2346" spans="1:10" x14ac:dyDescent="0.25">
      <c r="A2346" t="s">
        <v>6</v>
      </c>
      <c r="B2346" t="s">
        <v>55</v>
      </c>
      <c r="C2346" t="s">
        <v>1178</v>
      </c>
      <c r="D2346">
        <v>716810</v>
      </c>
      <c r="E2346" t="s">
        <v>10</v>
      </c>
      <c r="F2346">
        <v>50.70834</v>
      </c>
      <c r="G2346">
        <v>-121.2814</v>
      </c>
      <c r="H2346">
        <v>-8</v>
      </c>
      <c r="I2346">
        <v>327</v>
      </c>
      <c r="J2346" t="str">
        <f>HYPERLINK("https://climate.onebuilding.org/WMO_Region_4_North_and_Central_America/CAN_Canada/BC_British_Columbia/CAN_BC_Ashcroft.716810_TMYx.zip")</f>
        <v>https://climate.onebuilding.org/WMO_Region_4_North_and_Central_America/CAN_Canada/BC_British_Columbia/CAN_BC_Ashcroft.716810_TMYx.zip</v>
      </c>
    </row>
    <row r="2347" spans="1:10" x14ac:dyDescent="0.25">
      <c r="A2347" t="s">
        <v>6</v>
      </c>
      <c r="B2347" t="s">
        <v>48</v>
      </c>
      <c r="C2347" t="s">
        <v>1180</v>
      </c>
      <c r="D2347">
        <v>716820</v>
      </c>
      <c r="E2347" t="s">
        <v>1181</v>
      </c>
      <c r="F2347">
        <v>61.125</v>
      </c>
      <c r="G2347">
        <v>-122.8511</v>
      </c>
      <c r="H2347">
        <v>-7</v>
      </c>
      <c r="I2347">
        <v>183</v>
      </c>
      <c r="J2347" t="str">
        <f>HYPERLINK("https://climate.onebuilding.org/WMO_Region_4_North_and_Central_America/CAN_Canada/NT_Northwest_Territories/CAN_NT_Lindburg.Landing.716820_TMYx.2004-2018.zip")</f>
        <v>https://climate.onebuilding.org/WMO_Region_4_North_and_Central_America/CAN_Canada/NT_Northwest_Territories/CAN_NT_Lindburg.Landing.716820_TMYx.2004-2018.zip</v>
      </c>
    </row>
    <row r="2348" spans="1:10" x14ac:dyDescent="0.25">
      <c r="A2348" t="s">
        <v>6</v>
      </c>
      <c r="B2348" t="s">
        <v>48</v>
      </c>
      <c r="C2348" t="s">
        <v>1180</v>
      </c>
      <c r="D2348">
        <v>716820</v>
      </c>
      <c r="E2348" t="s">
        <v>10</v>
      </c>
      <c r="F2348">
        <v>61.125</v>
      </c>
      <c r="G2348">
        <v>-122.8511</v>
      </c>
      <c r="H2348">
        <v>-7</v>
      </c>
      <c r="I2348">
        <v>183</v>
      </c>
      <c r="J2348" t="str">
        <f>HYPERLINK("https://climate.onebuilding.org/WMO_Region_4_North_and_Central_America/CAN_Canada/NT_Northwest_Territories/CAN_NT_Lindburg.Landing.716820_TMYx.2007-2021.zip")</f>
        <v>https://climate.onebuilding.org/WMO_Region_4_North_and_Central_America/CAN_Canada/NT_Northwest_Territories/CAN_NT_Lindburg.Landing.716820_TMYx.2007-2021.zip</v>
      </c>
    </row>
    <row r="2349" spans="1:10" x14ac:dyDescent="0.25">
      <c r="A2349" t="s">
        <v>6</v>
      </c>
      <c r="B2349" t="s">
        <v>48</v>
      </c>
      <c r="C2349" t="s">
        <v>1180</v>
      </c>
      <c r="D2349">
        <v>716820</v>
      </c>
      <c r="E2349" t="s">
        <v>10</v>
      </c>
      <c r="F2349">
        <v>61.125</v>
      </c>
      <c r="G2349">
        <v>-122.8511</v>
      </c>
      <c r="H2349">
        <v>-7</v>
      </c>
      <c r="I2349">
        <v>183</v>
      </c>
      <c r="J2349" t="str">
        <f>HYPERLINK("https://climate.onebuilding.org/WMO_Region_4_North_and_Central_America/CAN_Canada/NT_Northwest_Territories/CAN_NT_Lindburg.Landing.716820_TMYx.2009-2023.zip")</f>
        <v>https://climate.onebuilding.org/WMO_Region_4_North_and_Central_America/CAN_Canada/NT_Northwest_Territories/CAN_NT_Lindburg.Landing.716820_TMYx.2009-2023.zip</v>
      </c>
    </row>
    <row r="2350" spans="1:10" x14ac:dyDescent="0.25">
      <c r="A2350" t="s">
        <v>6</v>
      </c>
      <c r="B2350" t="s">
        <v>48</v>
      </c>
      <c r="C2350" t="s">
        <v>1180</v>
      </c>
      <c r="D2350">
        <v>716820</v>
      </c>
      <c r="E2350" t="s">
        <v>10</v>
      </c>
      <c r="F2350">
        <v>61.125</v>
      </c>
      <c r="G2350">
        <v>-122.8511</v>
      </c>
      <c r="H2350">
        <v>-7</v>
      </c>
      <c r="I2350">
        <v>183</v>
      </c>
      <c r="J2350" t="str">
        <f>HYPERLINK("https://climate.onebuilding.org/WMO_Region_4_North_and_Central_America/CAN_Canada/NT_Northwest_Territories/CAN_NT_Lindburg.Landing.716820_TMYx.zip")</f>
        <v>https://climate.onebuilding.org/WMO_Region_4_North_and_Central_America/CAN_Canada/NT_Northwest_Territories/CAN_NT_Lindburg.Landing.716820_TMYx.zip</v>
      </c>
    </row>
    <row r="2351" spans="1:10" x14ac:dyDescent="0.25">
      <c r="A2351" t="s">
        <v>6</v>
      </c>
      <c r="B2351" t="s">
        <v>48</v>
      </c>
      <c r="C2351" t="s">
        <v>1182</v>
      </c>
      <c r="D2351">
        <v>716830</v>
      </c>
      <c r="E2351" t="s">
        <v>1183</v>
      </c>
      <c r="F2351">
        <v>68.742000000000004</v>
      </c>
      <c r="G2351">
        <v>-133.499</v>
      </c>
      <c r="H2351">
        <v>-7</v>
      </c>
      <c r="I2351">
        <v>85</v>
      </c>
      <c r="J2351" t="str">
        <f>HYPERLINK("https://climate.onebuilding.org/WMO_Region_4_North_and_Central_America/CAN_Canada/NT_Northwest_Territories/CAN_NT_Trail.Valley.Res.Stn.716830_TMYx.2004-2018.zip")</f>
        <v>https://climate.onebuilding.org/WMO_Region_4_North_and_Central_America/CAN_Canada/NT_Northwest_Territories/CAN_NT_Trail.Valley.Res.Stn.716830_TMYx.2004-2018.zip</v>
      </c>
    </row>
    <row r="2352" spans="1:10" x14ac:dyDescent="0.25">
      <c r="A2352" t="s">
        <v>6</v>
      </c>
      <c r="B2352" t="s">
        <v>48</v>
      </c>
      <c r="C2352" t="s">
        <v>1182</v>
      </c>
      <c r="D2352">
        <v>716830</v>
      </c>
      <c r="E2352" t="s">
        <v>10</v>
      </c>
      <c r="F2352">
        <v>68.742000000000004</v>
      </c>
      <c r="G2352">
        <v>-133.499</v>
      </c>
      <c r="H2352">
        <v>-7</v>
      </c>
      <c r="I2352">
        <v>85</v>
      </c>
      <c r="J2352" t="str">
        <f>HYPERLINK("https://climate.onebuilding.org/WMO_Region_4_North_and_Central_America/CAN_Canada/NT_Northwest_Territories/CAN_NT_Trail.Valley.Res.Stn.716830_TMYx.2007-2021.zip")</f>
        <v>https://climate.onebuilding.org/WMO_Region_4_North_and_Central_America/CAN_Canada/NT_Northwest_Territories/CAN_NT_Trail.Valley.Res.Stn.716830_TMYx.2007-2021.zip</v>
      </c>
    </row>
    <row r="2353" spans="1:10" x14ac:dyDescent="0.25">
      <c r="A2353" t="s">
        <v>6</v>
      </c>
      <c r="B2353" t="s">
        <v>48</v>
      </c>
      <c r="C2353" t="s">
        <v>1182</v>
      </c>
      <c r="D2353">
        <v>716830</v>
      </c>
      <c r="E2353" t="s">
        <v>10</v>
      </c>
      <c r="F2353">
        <v>68.742000000000004</v>
      </c>
      <c r="G2353">
        <v>-133.499</v>
      </c>
      <c r="H2353">
        <v>-7</v>
      </c>
      <c r="I2353">
        <v>85</v>
      </c>
      <c r="J2353" t="str">
        <f>HYPERLINK("https://climate.onebuilding.org/WMO_Region_4_North_and_Central_America/CAN_Canada/NT_Northwest_Territories/CAN_NT_Trail.Valley.Res.Stn.716830_TMYx.2009-2023.zip")</f>
        <v>https://climate.onebuilding.org/WMO_Region_4_North_and_Central_America/CAN_Canada/NT_Northwest_Territories/CAN_NT_Trail.Valley.Res.Stn.716830_TMYx.2009-2023.zip</v>
      </c>
    </row>
    <row r="2354" spans="1:10" x14ac:dyDescent="0.25">
      <c r="A2354" t="s">
        <v>6</v>
      </c>
      <c r="B2354" t="s">
        <v>48</v>
      </c>
      <c r="C2354" t="s">
        <v>1182</v>
      </c>
      <c r="D2354">
        <v>716830</v>
      </c>
      <c r="E2354" t="s">
        <v>10</v>
      </c>
      <c r="F2354">
        <v>68.742000000000004</v>
      </c>
      <c r="G2354">
        <v>-133.499</v>
      </c>
      <c r="H2354">
        <v>-7</v>
      </c>
      <c r="I2354">
        <v>85</v>
      </c>
      <c r="J2354" t="str">
        <f>HYPERLINK("https://climate.onebuilding.org/WMO_Region_4_North_and_Central_America/CAN_Canada/NT_Northwest_Territories/CAN_NT_Trail.Valley.Res.Stn.716830_TMYx.zip")</f>
        <v>https://climate.onebuilding.org/WMO_Region_4_North_and_Central_America/CAN_Canada/NT_Northwest_Territories/CAN_NT_Trail.Valley.Res.Stn.716830_TMYx.zip</v>
      </c>
    </row>
    <row r="2355" spans="1:10" x14ac:dyDescent="0.25">
      <c r="A2355" t="s">
        <v>6</v>
      </c>
      <c r="B2355" t="s">
        <v>130</v>
      </c>
      <c r="C2355" t="s">
        <v>1184</v>
      </c>
      <c r="D2355">
        <v>716840</v>
      </c>
      <c r="E2355" t="s">
        <v>1185</v>
      </c>
      <c r="F2355">
        <v>47.695</v>
      </c>
      <c r="G2355">
        <v>-79.8489</v>
      </c>
      <c r="H2355">
        <v>-5</v>
      </c>
      <c r="I2355">
        <v>243.8</v>
      </c>
      <c r="J2355" t="str">
        <f>HYPERLINK("https://climate.onebuilding.org/WMO_Region_4_North_and_Central_America/CAN_Canada/ON_Ontario/CAN_ON_Earlton-Timiskaming.Rgnl.AP.716840_TMYx.2004-2018.zip")</f>
        <v>https://climate.onebuilding.org/WMO_Region_4_North_and_Central_America/CAN_Canada/ON_Ontario/CAN_ON_Earlton-Timiskaming.Rgnl.AP.716840_TMYx.2004-2018.zip</v>
      </c>
    </row>
    <row r="2356" spans="1:10" x14ac:dyDescent="0.25">
      <c r="A2356" t="s">
        <v>6</v>
      </c>
      <c r="B2356" t="s">
        <v>130</v>
      </c>
      <c r="C2356" t="s">
        <v>1184</v>
      </c>
      <c r="D2356">
        <v>716840</v>
      </c>
      <c r="E2356" t="s">
        <v>10</v>
      </c>
      <c r="F2356">
        <v>47.697600000000001</v>
      </c>
      <c r="G2356">
        <v>-79.853499999999997</v>
      </c>
      <c r="H2356">
        <v>-5</v>
      </c>
      <c r="I2356">
        <v>243.8</v>
      </c>
      <c r="J2356" t="str">
        <f>HYPERLINK("https://climate.onebuilding.org/WMO_Region_4_North_and_Central_America/CAN_Canada/ON_Ontario/CAN_ON_Earlton-Timiskaming.Rgnl.AP.716840_TMYx.2007-2021.zip")</f>
        <v>https://climate.onebuilding.org/WMO_Region_4_North_and_Central_America/CAN_Canada/ON_Ontario/CAN_ON_Earlton-Timiskaming.Rgnl.AP.716840_TMYx.2007-2021.zip</v>
      </c>
    </row>
    <row r="2357" spans="1:10" x14ac:dyDescent="0.25">
      <c r="A2357" t="s">
        <v>6</v>
      </c>
      <c r="B2357" t="s">
        <v>130</v>
      </c>
      <c r="C2357" t="s">
        <v>1184</v>
      </c>
      <c r="D2357">
        <v>716840</v>
      </c>
      <c r="E2357" t="s">
        <v>10</v>
      </c>
      <c r="F2357">
        <v>47.697600000000001</v>
      </c>
      <c r="G2357">
        <v>-79.853499999999997</v>
      </c>
      <c r="H2357">
        <v>-5</v>
      </c>
      <c r="I2357">
        <v>243.8</v>
      </c>
      <c r="J2357" t="str">
        <f>HYPERLINK("https://climate.onebuilding.org/WMO_Region_4_North_and_Central_America/CAN_Canada/ON_Ontario/CAN_ON_Earlton-Timiskaming.Rgnl.AP.716840_TMYx.2009-2023.zip")</f>
        <v>https://climate.onebuilding.org/WMO_Region_4_North_and_Central_America/CAN_Canada/ON_Ontario/CAN_ON_Earlton-Timiskaming.Rgnl.AP.716840_TMYx.2009-2023.zip</v>
      </c>
    </row>
    <row r="2358" spans="1:10" x14ac:dyDescent="0.25">
      <c r="A2358" t="s">
        <v>6</v>
      </c>
      <c r="B2358" t="s">
        <v>130</v>
      </c>
      <c r="C2358" t="s">
        <v>1184</v>
      </c>
      <c r="D2358">
        <v>716840</v>
      </c>
      <c r="E2358" t="s">
        <v>10</v>
      </c>
      <c r="F2358">
        <v>47.697600000000001</v>
      </c>
      <c r="G2358">
        <v>-79.853499999999997</v>
      </c>
      <c r="H2358">
        <v>-5</v>
      </c>
      <c r="I2358">
        <v>243.8</v>
      </c>
      <c r="J2358" t="str">
        <f>HYPERLINK("https://climate.onebuilding.org/WMO_Region_4_North_and_Central_America/CAN_Canada/ON_Ontario/CAN_ON_Earlton-Timiskaming.Rgnl.AP.716840_TMYx.zip")</f>
        <v>https://climate.onebuilding.org/WMO_Region_4_North_and_Central_America/CAN_Canada/ON_Ontario/CAN_ON_Earlton-Timiskaming.Rgnl.AP.716840_TMYx.zip</v>
      </c>
    </row>
    <row r="2359" spans="1:10" x14ac:dyDescent="0.25">
      <c r="A2359" t="s">
        <v>6</v>
      </c>
      <c r="B2359" t="s">
        <v>55</v>
      </c>
      <c r="C2359" t="s">
        <v>1186</v>
      </c>
      <c r="D2359">
        <v>716870</v>
      </c>
      <c r="E2359" t="s">
        <v>1187</v>
      </c>
      <c r="F2359">
        <v>50.128900000000002</v>
      </c>
      <c r="G2359">
        <v>-122.9547</v>
      </c>
      <c r="H2359">
        <v>-8</v>
      </c>
      <c r="I2359">
        <v>659</v>
      </c>
      <c r="J2359" t="str">
        <f>HYPERLINK("https://climate.onebuilding.org/WMO_Region_4_North_and_Central_America/CAN_Canada/BC_British_Columbia/CAN_BC_Whistler-Nesters.716870_TMYx.2004-2018.zip")</f>
        <v>https://climate.onebuilding.org/WMO_Region_4_North_and_Central_America/CAN_Canada/BC_British_Columbia/CAN_BC_Whistler-Nesters.716870_TMYx.2004-2018.zip</v>
      </c>
    </row>
    <row r="2360" spans="1:10" x14ac:dyDescent="0.25">
      <c r="A2360" t="s">
        <v>6</v>
      </c>
      <c r="B2360" t="s">
        <v>55</v>
      </c>
      <c r="C2360" t="s">
        <v>1186</v>
      </c>
      <c r="D2360">
        <v>716870</v>
      </c>
      <c r="E2360" t="s">
        <v>10</v>
      </c>
      <c r="F2360">
        <v>50.128900000000002</v>
      </c>
      <c r="G2360">
        <v>-122.9547</v>
      </c>
      <c r="H2360">
        <v>-8</v>
      </c>
      <c r="I2360">
        <v>659</v>
      </c>
      <c r="J2360" t="str">
        <f>HYPERLINK("https://climate.onebuilding.org/WMO_Region_4_North_and_Central_America/CAN_Canada/BC_British_Columbia/CAN_BC_Whistler-Nesters.716870_TMYx.2007-2021.zip")</f>
        <v>https://climate.onebuilding.org/WMO_Region_4_North_and_Central_America/CAN_Canada/BC_British_Columbia/CAN_BC_Whistler-Nesters.716870_TMYx.2007-2021.zip</v>
      </c>
    </row>
    <row r="2361" spans="1:10" x14ac:dyDescent="0.25">
      <c r="A2361" t="s">
        <v>6</v>
      </c>
      <c r="B2361" t="s">
        <v>55</v>
      </c>
      <c r="C2361" t="s">
        <v>1186</v>
      </c>
      <c r="D2361">
        <v>716870</v>
      </c>
      <c r="E2361" t="s">
        <v>10</v>
      </c>
      <c r="F2361">
        <v>50.128900000000002</v>
      </c>
      <c r="G2361">
        <v>-122.9547</v>
      </c>
      <c r="H2361">
        <v>-8</v>
      </c>
      <c r="I2361">
        <v>659</v>
      </c>
      <c r="J2361" t="str">
        <f>HYPERLINK("https://climate.onebuilding.org/WMO_Region_4_North_and_Central_America/CAN_Canada/BC_British_Columbia/CAN_BC_Whistler-Nesters.716870_TMYx.2009-2023.zip")</f>
        <v>https://climate.onebuilding.org/WMO_Region_4_North_and_Central_America/CAN_Canada/BC_British_Columbia/CAN_BC_Whistler-Nesters.716870_TMYx.2009-2023.zip</v>
      </c>
    </row>
    <row r="2362" spans="1:10" x14ac:dyDescent="0.25">
      <c r="A2362" t="s">
        <v>6</v>
      </c>
      <c r="B2362" t="s">
        <v>55</v>
      </c>
      <c r="C2362" t="s">
        <v>1186</v>
      </c>
      <c r="D2362">
        <v>716870</v>
      </c>
      <c r="E2362" t="s">
        <v>10</v>
      </c>
      <c r="F2362">
        <v>50.128900000000002</v>
      </c>
      <c r="G2362">
        <v>-122.9547</v>
      </c>
      <c r="H2362">
        <v>-8</v>
      </c>
      <c r="I2362">
        <v>659</v>
      </c>
      <c r="J2362" t="str">
        <f>HYPERLINK("https://climate.onebuilding.org/WMO_Region_4_North_and_Central_America/CAN_Canada/BC_British_Columbia/CAN_BC_Whistler-Nesters.716870_TMYx.zip")</f>
        <v>https://climate.onebuilding.org/WMO_Region_4_North_and_Central_America/CAN_Canada/BC_British_Columbia/CAN_BC_Whistler-Nesters.716870_TMYx.zip</v>
      </c>
    </row>
    <row r="2363" spans="1:10" x14ac:dyDescent="0.25">
      <c r="A2363" t="s">
        <v>6</v>
      </c>
      <c r="B2363" t="s">
        <v>55</v>
      </c>
      <c r="C2363" t="s">
        <v>1188</v>
      </c>
      <c r="D2363">
        <v>716880</v>
      </c>
      <c r="E2363" t="s">
        <v>1189</v>
      </c>
      <c r="F2363">
        <v>50.143900000000002</v>
      </c>
      <c r="G2363">
        <v>-123.11060000000001</v>
      </c>
      <c r="H2363">
        <v>-8</v>
      </c>
      <c r="I2363">
        <v>884</v>
      </c>
      <c r="J2363" t="str">
        <f>HYPERLINK("https://climate.onebuilding.org/WMO_Region_4_North_and_Central_America/CAN_Canada/BC_British_Columbia/CAN_BC_Callaghan.Valley-Whistler.Olympic.Park.Ski.Resort.716880_TMYx.2004-2018.zip")</f>
        <v>https://climate.onebuilding.org/WMO_Region_4_North_and_Central_America/CAN_Canada/BC_British_Columbia/CAN_BC_Callaghan.Valley-Whistler.Olympic.Park.Ski.Resort.716880_TMYx.2004-2018.zip</v>
      </c>
    </row>
    <row r="2364" spans="1:10" x14ac:dyDescent="0.25">
      <c r="A2364" t="s">
        <v>6</v>
      </c>
      <c r="B2364" t="s">
        <v>55</v>
      </c>
      <c r="C2364" t="s">
        <v>1188</v>
      </c>
      <c r="D2364">
        <v>716880</v>
      </c>
      <c r="E2364" t="s">
        <v>10</v>
      </c>
      <c r="F2364">
        <v>50.143900000000002</v>
      </c>
      <c r="G2364">
        <v>-123.11060000000001</v>
      </c>
      <c r="H2364">
        <v>-8</v>
      </c>
      <c r="I2364">
        <v>884</v>
      </c>
      <c r="J2364" t="str">
        <f>HYPERLINK("https://climate.onebuilding.org/WMO_Region_4_North_and_Central_America/CAN_Canada/BC_British_Columbia/CAN_BC_Callaghan.Valley-Whistler.Olympic.Park.Ski.Resort.716880_TMYx.2007-2021.zip")</f>
        <v>https://climate.onebuilding.org/WMO_Region_4_North_and_Central_America/CAN_Canada/BC_British_Columbia/CAN_BC_Callaghan.Valley-Whistler.Olympic.Park.Ski.Resort.716880_TMYx.2007-2021.zip</v>
      </c>
    </row>
    <row r="2365" spans="1:10" x14ac:dyDescent="0.25">
      <c r="A2365" t="s">
        <v>6</v>
      </c>
      <c r="B2365" t="s">
        <v>55</v>
      </c>
      <c r="C2365" t="s">
        <v>1188</v>
      </c>
      <c r="D2365">
        <v>716880</v>
      </c>
      <c r="E2365" t="s">
        <v>10</v>
      </c>
      <c r="F2365">
        <v>50.143900000000002</v>
      </c>
      <c r="G2365">
        <v>-123.11060000000001</v>
      </c>
      <c r="H2365">
        <v>-8</v>
      </c>
      <c r="I2365">
        <v>884</v>
      </c>
      <c r="J2365" t="str">
        <f>HYPERLINK("https://climate.onebuilding.org/WMO_Region_4_North_and_Central_America/CAN_Canada/BC_British_Columbia/CAN_BC_Callaghan.Valley-Whistler.Olympic.Park.Ski.Resort.716880_TMYx.2009-2023.zip")</f>
        <v>https://climate.onebuilding.org/WMO_Region_4_North_and_Central_America/CAN_Canada/BC_British_Columbia/CAN_BC_Callaghan.Valley-Whistler.Olympic.Park.Ski.Resort.716880_TMYx.2009-2023.zip</v>
      </c>
    </row>
    <row r="2366" spans="1:10" x14ac:dyDescent="0.25">
      <c r="A2366" t="s">
        <v>6</v>
      </c>
      <c r="B2366" t="s">
        <v>55</v>
      </c>
      <c r="C2366" t="s">
        <v>1188</v>
      </c>
      <c r="D2366">
        <v>716880</v>
      </c>
      <c r="E2366" t="s">
        <v>10</v>
      </c>
      <c r="F2366">
        <v>50.143900000000002</v>
      </c>
      <c r="G2366">
        <v>-123.11060000000001</v>
      </c>
      <c r="H2366">
        <v>-8</v>
      </c>
      <c r="I2366">
        <v>884</v>
      </c>
      <c r="J2366" t="str">
        <f>HYPERLINK("https://climate.onebuilding.org/WMO_Region_4_North_and_Central_America/CAN_Canada/BC_British_Columbia/CAN_BC_Callaghan.Valley-Whistler.Olympic.Park.Ski.Resort.716880_TMYx.zip")</f>
        <v>https://climate.onebuilding.org/WMO_Region_4_North_and_Central_America/CAN_Canada/BC_British_Columbia/CAN_BC_Callaghan.Valley-Whistler.Olympic.Park.Ski.Resort.716880_TMYx.zip</v>
      </c>
    </row>
    <row r="2367" spans="1:10" x14ac:dyDescent="0.25">
      <c r="A2367" t="s">
        <v>6</v>
      </c>
      <c r="B2367" t="s">
        <v>17</v>
      </c>
      <c r="C2367" t="s">
        <v>1190</v>
      </c>
      <c r="D2367">
        <v>716900</v>
      </c>
      <c r="E2367" t="s">
        <v>1191</v>
      </c>
      <c r="F2367">
        <v>55.352200000000003</v>
      </c>
      <c r="G2367">
        <v>-118.4075</v>
      </c>
      <c r="H2367">
        <v>-7</v>
      </c>
      <c r="I2367">
        <v>670</v>
      </c>
      <c r="J2367" t="str">
        <f>HYPERLINK("https://climate.onebuilding.org/WMO_Region_4_North_and_Central_America/CAN_Canada/AB_Alberta/CAN_AB_Teepee.Creek.AgCM.716900_TMYx.2004-2018.zip")</f>
        <v>https://climate.onebuilding.org/WMO_Region_4_North_and_Central_America/CAN_Canada/AB_Alberta/CAN_AB_Teepee.Creek.AgCM.716900_TMYx.2004-2018.zip</v>
      </c>
    </row>
    <row r="2368" spans="1:10" x14ac:dyDescent="0.25">
      <c r="A2368" t="s">
        <v>6</v>
      </c>
      <c r="B2368" t="s">
        <v>17</v>
      </c>
      <c r="C2368" t="s">
        <v>1190</v>
      </c>
      <c r="D2368">
        <v>716900</v>
      </c>
      <c r="E2368" t="s">
        <v>10</v>
      </c>
      <c r="F2368">
        <v>55.352400000000003</v>
      </c>
      <c r="G2368">
        <v>-118.4075</v>
      </c>
      <c r="H2368">
        <v>-7</v>
      </c>
      <c r="I2368">
        <v>670</v>
      </c>
      <c r="J2368" t="str">
        <f>HYPERLINK("https://climate.onebuilding.org/WMO_Region_4_North_and_Central_America/CAN_Canada/AB_Alberta/CAN_AB_Teepee.Creek.AgCM.716900_TMYx.2007-2021.zip")</f>
        <v>https://climate.onebuilding.org/WMO_Region_4_North_and_Central_America/CAN_Canada/AB_Alberta/CAN_AB_Teepee.Creek.AgCM.716900_TMYx.2007-2021.zip</v>
      </c>
    </row>
    <row r="2369" spans="1:10" x14ac:dyDescent="0.25">
      <c r="A2369" t="s">
        <v>6</v>
      </c>
      <c r="B2369" t="s">
        <v>17</v>
      </c>
      <c r="C2369" t="s">
        <v>1190</v>
      </c>
      <c r="D2369">
        <v>716900</v>
      </c>
      <c r="E2369" t="s">
        <v>10</v>
      </c>
      <c r="F2369">
        <v>55.352400000000003</v>
      </c>
      <c r="G2369">
        <v>-118.4075</v>
      </c>
      <c r="H2369">
        <v>-7</v>
      </c>
      <c r="I2369">
        <v>670</v>
      </c>
      <c r="J2369" t="str">
        <f>HYPERLINK("https://climate.onebuilding.org/WMO_Region_4_North_and_Central_America/CAN_Canada/AB_Alberta/CAN_AB_Teepee.Creek.AgCM.716900_TMYx.2009-2023.zip")</f>
        <v>https://climate.onebuilding.org/WMO_Region_4_North_and_Central_America/CAN_Canada/AB_Alberta/CAN_AB_Teepee.Creek.AgCM.716900_TMYx.2009-2023.zip</v>
      </c>
    </row>
    <row r="2370" spans="1:10" x14ac:dyDescent="0.25">
      <c r="A2370" t="s">
        <v>6</v>
      </c>
      <c r="B2370" t="s">
        <v>17</v>
      </c>
      <c r="C2370" t="s">
        <v>1190</v>
      </c>
      <c r="D2370">
        <v>716900</v>
      </c>
      <c r="E2370" t="s">
        <v>10</v>
      </c>
      <c r="F2370">
        <v>55.352400000000003</v>
      </c>
      <c r="G2370">
        <v>-118.4075</v>
      </c>
      <c r="H2370">
        <v>-7</v>
      </c>
      <c r="I2370">
        <v>670</v>
      </c>
      <c r="J2370" t="str">
        <f>HYPERLINK("https://climate.onebuilding.org/WMO_Region_4_North_and_Central_America/CAN_Canada/AB_Alberta/CAN_AB_Teepee.Creek.AgCM.716900_TMYx.zip")</f>
        <v>https://climate.onebuilding.org/WMO_Region_4_North_and_Central_America/CAN_Canada/AB_Alberta/CAN_AB_Teepee.Creek.AgCM.716900_TMYx.zip</v>
      </c>
    </row>
    <row r="2371" spans="1:10" x14ac:dyDescent="0.25">
      <c r="A2371" t="s">
        <v>6</v>
      </c>
      <c r="B2371" t="s">
        <v>14</v>
      </c>
      <c r="C2371" t="s">
        <v>1192</v>
      </c>
      <c r="D2371">
        <v>716910</v>
      </c>
      <c r="E2371" t="s">
        <v>1193</v>
      </c>
      <c r="F2371">
        <v>49.1325</v>
      </c>
      <c r="G2371">
        <v>-68.204400000000007</v>
      </c>
      <c r="H2371">
        <v>-5</v>
      </c>
      <c r="I2371">
        <v>21.6</v>
      </c>
      <c r="J2371" t="str">
        <f>HYPERLINK("https://climate.onebuilding.org/WMO_Region_4_North_and_Central_America/CAN_Canada/QC_Quebec/CAN_QC_Baie-Comeau.AP.716910_TMYx.2004-2018.zip")</f>
        <v>https://climate.onebuilding.org/WMO_Region_4_North_and_Central_America/CAN_Canada/QC_Quebec/CAN_QC_Baie-Comeau.AP.716910_TMYx.2004-2018.zip</v>
      </c>
    </row>
    <row r="2372" spans="1:10" x14ac:dyDescent="0.25">
      <c r="A2372" t="s">
        <v>6</v>
      </c>
      <c r="B2372" t="s">
        <v>14</v>
      </c>
      <c r="C2372" t="s">
        <v>1192</v>
      </c>
      <c r="D2372">
        <v>716910</v>
      </c>
      <c r="E2372" t="s">
        <v>10</v>
      </c>
      <c r="F2372">
        <v>49.135100000000001</v>
      </c>
      <c r="G2372">
        <v>-68.202399999999997</v>
      </c>
      <c r="H2372">
        <v>-5</v>
      </c>
      <c r="I2372">
        <v>21.6</v>
      </c>
      <c r="J2372" t="str">
        <f>HYPERLINK("https://climate.onebuilding.org/WMO_Region_4_North_and_Central_America/CAN_Canada/QC_Quebec/CAN_QC_Baie-Comeau.AP.716910_TMYx.2007-2021.zip")</f>
        <v>https://climate.onebuilding.org/WMO_Region_4_North_and_Central_America/CAN_Canada/QC_Quebec/CAN_QC_Baie-Comeau.AP.716910_TMYx.2007-2021.zip</v>
      </c>
    </row>
    <row r="2373" spans="1:10" x14ac:dyDescent="0.25">
      <c r="A2373" t="s">
        <v>6</v>
      </c>
      <c r="B2373" t="s">
        <v>14</v>
      </c>
      <c r="C2373" t="s">
        <v>1192</v>
      </c>
      <c r="D2373">
        <v>716910</v>
      </c>
      <c r="E2373" t="s">
        <v>10</v>
      </c>
      <c r="F2373">
        <v>49.135100000000001</v>
      </c>
      <c r="G2373">
        <v>-68.202399999999997</v>
      </c>
      <c r="H2373">
        <v>-5</v>
      </c>
      <c r="I2373">
        <v>21.6</v>
      </c>
      <c r="J2373" t="str">
        <f>HYPERLINK("https://climate.onebuilding.org/WMO_Region_4_North_and_Central_America/CAN_Canada/QC_Quebec/CAN_QC_Baie-Comeau.AP.716910_TMYx.2009-2023.zip")</f>
        <v>https://climate.onebuilding.org/WMO_Region_4_North_and_Central_America/CAN_Canada/QC_Quebec/CAN_QC_Baie-Comeau.AP.716910_TMYx.2009-2023.zip</v>
      </c>
    </row>
    <row r="2374" spans="1:10" x14ac:dyDescent="0.25">
      <c r="A2374" t="s">
        <v>6</v>
      </c>
      <c r="B2374" t="s">
        <v>14</v>
      </c>
      <c r="C2374" t="s">
        <v>1192</v>
      </c>
      <c r="D2374">
        <v>716910</v>
      </c>
      <c r="E2374" t="s">
        <v>10</v>
      </c>
      <c r="F2374">
        <v>49.135100000000001</v>
      </c>
      <c r="G2374">
        <v>-68.202399999999997</v>
      </c>
      <c r="H2374">
        <v>-5</v>
      </c>
      <c r="I2374">
        <v>21.6</v>
      </c>
      <c r="J2374" t="str">
        <f>HYPERLINK("https://climate.onebuilding.org/WMO_Region_4_North_and_Central_America/CAN_Canada/QC_Quebec/CAN_QC_Baie-Comeau.AP.716910_TMYx.zip")</f>
        <v>https://climate.onebuilding.org/WMO_Region_4_North_and_Central_America/CAN_Canada/QC_Quebec/CAN_QC_Baie-Comeau.AP.716910_TMYx.zip</v>
      </c>
    </row>
    <row r="2375" spans="1:10" x14ac:dyDescent="0.25">
      <c r="A2375" t="s">
        <v>6</v>
      </c>
      <c r="B2375" t="s">
        <v>11</v>
      </c>
      <c r="C2375" t="s">
        <v>1194</v>
      </c>
      <c r="D2375">
        <v>716920</v>
      </c>
      <c r="E2375" t="s">
        <v>1195</v>
      </c>
      <c r="F2375">
        <v>47.328299999999999</v>
      </c>
      <c r="G2375">
        <v>-54.585299999999997</v>
      </c>
      <c r="H2375">
        <v>-3.5</v>
      </c>
      <c r="I2375">
        <v>26.6</v>
      </c>
      <c r="J2375" t="str">
        <f>HYPERLINK("https://climate.onebuilding.org/WMO_Region_4_North_and_Central_America/CAN_Canada/NL_Newfoundland_and_Labrador/CAN_NL_Marticot.Island.716920_TMYx.2004-2018.zip")</f>
        <v>https://climate.onebuilding.org/WMO_Region_4_North_and_Central_America/CAN_Canada/NL_Newfoundland_and_Labrador/CAN_NL_Marticot.Island.716920_TMYx.2004-2018.zip</v>
      </c>
    </row>
    <row r="2376" spans="1:10" x14ac:dyDescent="0.25">
      <c r="A2376" t="s">
        <v>6</v>
      </c>
      <c r="B2376" t="s">
        <v>11</v>
      </c>
      <c r="C2376" t="s">
        <v>1194</v>
      </c>
      <c r="D2376">
        <v>716920</v>
      </c>
      <c r="E2376" t="s">
        <v>10</v>
      </c>
      <c r="F2376">
        <v>47.328299999999999</v>
      </c>
      <c r="G2376">
        <v>-54.585299999999997</v>
      </c>
      <c r="H2376">
        <v>-3.5</v>
      </c>
      <c r="I2376">
        <v>26.6</v>
      </c>
      <c r="J2376" t="str">
        <f>HYPERLINK("https://climate.onebuilding.org/WMO_Region_4_North_and_Central_America/CAN_Canada/NL_Newfoundland_and_Labrador/CAN_NL_Marticot.Island.716920_TMYx.2007-2021.zip")</f>
        <v>https://climate.onebuilding.org/WMO_Region_4_North_and_Central_America/CAN_Canada/NL_Newfoundland_and_Labrador/CAN_NL_Marticot.Island.716920_TMYx.2007-2021.zip</v>
      </c>
    </row>
    <row r="2377" spans="1:10" x14ac:dyDescent="0.25">
      <c r="A2377" t="s">
        <v>6</v>
      </c>
      <c r="B2377" t="s">
        <v>11</v>
      </c>
      <c r="C2377" t="s">
        <v>1194</v>
      </c>
      <c r="D2377">
        <v>716920</v>
      </c>
      <c r="E2377" t="s">
        <v>10</v>
      </c>
      <c r="F2377">
        <v>47.328299999999999</v>
      </c>
      <c r="G2377">
        <v>-54.585299999999997</v>
      </c>
      <c r="H2377">
        <v>-3.5</v>
      </c>
      <c r="I2377">
        <v>26.6</v>
      </c>
      <c r="J2377" t="str">
        <f>HYPERLINK("https://climate.onebuilding.org/WMO_Region_4_North_and_Central_America/CAN_Canada/NL_Newfoundland_and_Labrador/CAN_NL_Marticot.Island.716920_TMYx.2009-2023.zip")</f>
        <v>https://climate.onebuilding.org/WMO_Region_4_North_and_Central_America/CAN_Canada/NL_Newfoundland_and_Labrador/CAN_NL_Marticot.Island.716920_TMYx.2009-2023.zip</v>
      </c>
    </row>
    <row r="2378" spans="1:10" x14ac:dyDescent="0.25">
      <c r="A2378" t="s">
        <v>6</v>
      </c>
      <c r="B2378" t="s">
        <v>11</v>
      </c>
      <c r="C2378" t="s">
        <v>1194</v>
      </c>
      <c r="D2378">
        <v>716920</v>
      </c>
      <c r="E2378" t="s">
        <v>10</v>
      </c>
      <c r="F2378">
        <v>47.328299999999999</v>
      </c>
      <c r="G2378">
        <v>-54.585299999999997</v>
      </c>
      <c r="H2378">
        <v>-3.5</v>
      </c>
      <c r="I2378">
        <v>26.6</v>
      </c>
      <c r="J2378" t="str">
        <f>HYPERLINK("https://climate.onebuilding.org/WMO_Region_4_North_and_Central_America/CAN_Canada/NL_Newfoundland_and_Labrador/CAN_NL_Marticot.Island.716920_TMYx.zip")</f>
        <v>https://climate.onebuilding.org/WMO_Region_4_North_and_Central_America/CAN_Canada/NL_Newfoundland_and_Labrador/CAN_NL_Marticot.Island.716920_TMYx.zip</v>
      </c>
    </row>
    <row r="2379" spans="1:10" x14ac:dyDescent="0.25">
      <c r="A2379" t="s">
        <v>6</v>
      </c>
      <c r="B2379" t="s">
        <v>130</v>
      </c>
      <c r="C2379" t="s">
        <v>1196</v>
      </c>
      <c r="D2379">
        <v>716940</v>
      </c>
      <c r="E2379" t="s">
        <v>1197</v>
      </c>
      <c r="F2379">
        <v>45.136110000000002</v>
      </c>
      <c r="G2379">
        <v>-79.398889999999994</v>
      </c>
      <c r="H2379">
        <v>-5</v>
      </c>
      <c r="I2379">
        <v>297.2</v>
      </c>
      <c r="J2379" t="str">
        <f>HYPERLINK("https://climate.onebuilding.org/WMO_Region_4_North_and_Central_America/CAN_Canada/ON_Ontario/CAN_ON_Beatrice.CS.716940_TMYx.2004-2018.zip")</f>
        <v>https://climate.onebuilding.org/WMO_Region_4_North_and_Central_America/CAN_Canada/ON_Ontario/CAN_ON_Beatrice.CS.716940_TMYx.2004-2018.zip</v>
      </c>
    </row>
    <row r="2380" spans="1:10" x14ac:dyDescent="0.25">
      <c r="A2380" t="s">
        <v>6</v>
      </c>
      <c r="B2380" t="s">
        <v>130</v>
      </c>
      <c r="C2380" t="s">
        <v>1196</v>
      </c>
      <c r="D2380">
        <v>716940</v>
      </c>
      <c r="E2380" t="s">
        <v>10</v>
      </c>
      <c r="F2380">
        <v>45.136110000000002</v>
      </c>
      <c r="G2380">
        <v>-79.398889999999994</v>
      </c>
      <c r="H2380">
        <v>-5</v>
      </c>
      <c r="I2380">
        <v>297.2</v>
      </c>
      <c r="J2380" t="str">
        <f>HYPERLINK("https://climate.onebuilding.org/WMO_Region_4_North_and_Central_America/CAN_Canada/ON_Ontario/CAN_ON_Beatrice.CS.716940_TMYx.2007-2021.zip")</f>
        <v>https://climate.onebuilding.org/WMO_Region_4_North_and_Central_America/CAN_Canada/ON_Ontario/CAN_ON_Beatrice.CS.716940_TMYx.2007-2021.zip</v>
      </c>
    </row>
    <row r="2381" spans="1:10" x14ac:dyDescent="0.25">
      <c r="A2381" t="s">
        <v>6</v>
      </c>
      <c r="B2381" t="s">
        <v>130</v>
      </c>
      <c r="C2381" t="s">
        <v>1196</v>
      </c>
      <c r="D2381">
        <v>716940</v>
      </c>
      <c r="E2381" t="s">
        <v>10</v>
      </c>
      <c r="F2381">
        <v>45.136110000000002</v>
      </c>
      <c r="G2381">
        <v>-79.398889999999994</v>
      </c>
      <c r="H2381">
        <v>-5</v>
      </c>
      <c r="I2381">
        <v>297.2</v>
      </c>
      <c r="J2381" t="str">
        <f>HYPERLINK("https://climate.onebuilding.org/WMO_Region_4_North_and_Central_America/CAN_Canada/ON_Ontario/CAN_ON_Beatrice.CS.716940_TMYx.2009-2023.zip")</f>
        <v>https://climate.onebuilding.org/WMO_Region_4_North_and_Central_America/CAN_Canada/ON_Ontario/CAN_ON_Beatrice.CS.716940_TMYx.2009-2023.zip</v>
      </c>
    </row>
    <row r="2382" spans="1:10" x14ac:dyDescent="0.25">
      <c r="A2382" t="s">
        <v>6</v>
      </c>
      <c r="B2382" t="s">
        <v>130</v>
      </c>
      <c r="C2382" t="s">
        <v>1196</v>
      </c>
      <c r="D2382">
        <v>716940</v>
      </c>
      <c r="E2382" t="s">
        <v>10</v>
      </c>
      <c r="F2382">
        <v>45.136110000000002</v>
      </c>
      <c r="G2382">
        <v>-79.398889999999994</v>
      </c>
      <c r="H2382">
        <v>-5</v>
      </c>
      <c r="I2382">
        <v>297.2</v>
      </c>
      <c r="J2382" t="str">
        <f>HYPERLINK("https://climate.onebuilding.org/WMO_Region_4_North_and_Central_America/CAN_Canada/ON_Ontario/CAN_ON_Beatrice.CS.716940_TMYx.zip")</f>
        <v>https://climate.onebuilding.org/WMO_Region_4_North_and_Central_America/CAN_Canada/ON_Ontario/CAN_ON_Beatrice.CS.716940_TMYx.zip</v>
      </c>
    </row>
    <row r="2383" spans="1:10" x14ac:dyDescent="0.25">
      <c r="A2383" t="s">
        <v>6</v>
      </c>
      <c r="B2383" t="s">
        <v>94</v>
      </c>
      <c r="C2383" t="s">
        <v>1198</v>
      </c>
      <c r="D2383">
        <v>716950</v>
      </c>
      <c r="E2383" t="s">
        <v>10</v>
      </c>
      <c r="F2383">
        <v>53.966670000000001</v>
      </c>
      <c r="G2383">
        <v>-101.0889</v>
      </c>
      <c r="H2383">
        <v>-6</v>
      </c>
      <c r="I2383">
        <v>274</v>
      </c>
      <c r="J2383" t="str">
        <f>HYPERLINK("https://climate.onebuilding.org/WMO_Region_4_North_and_Central_America/CAN_Canada/MB_Manitoba/CAN_MB_The.Pas.CS.716950_TMYx.2007-2021.zip")</f>
        <v>https://climate.onebuilding.org/WMO_Region_4_North_and_Central_America/CAN_Canada/MB_Manitoba/CAN_MB_The.Pas.CS.716950_TMYx.2007-2021.zip</v>
      </c>
    </row>
    <row r="2384" spans="1:10" x14ac:dyDescent="0.25">
      <c r="A2384" t="s">
        <v>6</v>
      </c>
      <c r="B2384" t="s">
        <v>94</v>
      </c>
      <c r="C2384" t="s">
        <v>1198</v>
      </c>
      <c r="D2384">
        <v>716950</v>
      </c>
      <c r="E2384" t="s">
        <v>10</v>
      </c>
      <c r="F2384">
        <v>53.966670000000001</v>
      </c>
      <c r="G2384">
        <v>-101.0889</v>
      </c>
      <c r="H2384">
        <v>-6</v>
      </c>
      <c r="I2384">
        <v>274</v>
      </c>
      <c r="J2384" t="str">
        <f>HYPERLINK("https://climate.onebuilding.org/WMO_Region_4_North_and_Central_America/CAN_Canada/MB_Manitoba/CAN_MB_The.Pas.CS.716950_TMYx.2009-2023.zip")</f>
        <v>https://climate.onebuilding.org/WMO_Region_4_North_and_Central_America/CAN_Canada/MB_Manitoba/CAN_MB_The.Pas.CS.716950_TMYx.2009-2023.zip</v>
      </c>
    </row>
    <row r="2385" spans="1:10" x14ac:dyDescent="0.25">
      <c r="A2385" t="s">
        <v>6</v>
      </c>
      <c r="B2385" t="s">
        <v>94</v>
      </c>
      <c r="C2385" t="s">
        <v>1198</v>
      </c>
      <c r="D2385">
        <v>716950</v>
      </c>
      <c r="E2385" t="s">
        <v>10</v>
      </c>
      <c r="F2385">
        <v>53.966670000000001</v>
      </c>
      <c r="G2385">
        <v>-101.0889</v>
      </c>
      <c r="H2385">
        <v>-6</v>
      </c>
      <c r="I2385">
        <v>274</v>
      </c>
      <c r="J2385" t="str">
        <f>HYPERLINK("https://climate.onebuilding.org/WMO_Region_4_North_and_Central_America/CAN_Canada/MB_Manitoba/CAN_MB_The.Pas.CS.716950_TMYx.zip")</f>
        <v>https://climate.onebuilding.org/WMO_Region_4_North_and_Central_America/CAN_Canada/MB_Manitoba/CAN_MB_The.Pas.CS.716950_TMYx.zip</v>
      </c>
    </row>
    <row r="2386" spans="1:10" x14ac:dyDescent="0.25">
      <c r="A2386" t="s">
        <v>6</v>
      </c>
      <c r="B2386" t="s">
        <v>94</v>
      </c>
      <c r="C2386" t="s">
        <v>1199</v>
      </c>
      <c r="D2386">
        <v>716960</v>
      </c>
      <c r="E2386" t="s">
        <v>10</v>
      </c>
      <c r="F2386">
        <v>58.739170000000001</v>
      </c>
      <c r="G2386">
        <v>-94.07</v>
      </c>
      <c r="H2386">
        <v>-6</v>
      </c>
      <c r="I2386">
        <v>29</v>
      </c>
      <c r="J2386" t="str">
        <f>HYPERLINK("https://climate.onebuilding.org/WMO_Region_4_North_and_Central_America/CAN_Canada/MB_Manitoba/CAN_MB_Churchill.CS.716960_TMYx.2007-2021.zip")</f>
        <v>https://climate.onebuilding.org/WMO_Region_4_North_and_Central_America/CAN_Canada/MB_Manitoba/CAN_MB_Churchill.CS.716960_TMYx.2007-2021.zip</v>
      </c>
    </row>
    <row r="2387" spans="1:10" x14ac:dyDescent="0.25">
      <c r="A2387" t="s">
        <v>6</v>
      </c>
      <c r="B2387" t="s">
        <v>94</v>
      </c>
      <c r="C2387" t="s">
        <v>1199</v>
      </c>
      <c r="D2387">
        <v>716960</v>
      </c>
      <c r="E2387" t="s">
        <v>10</v>
      </c>
      <c r="F2387">
        <v>58.739170000000001</v>
      </c>
      <c r="G2387">
        <v>-94.07</v>
      </c>
      <c r="H2387">
        <v>-6</v>
      </c>
      <c r="I2387">
        <v>29</v>
      </c>
      <c r="J2387" t="str">
        <f>HYPERLINK("https://climate.onebuilding.org/WMO_Region_4_North_and_Central_America/CAN_Canada/MB_Manitoba/CAN_MB_Churchill.CS.716960_TMYx.2009-2023.zip")</f>
        <v>https://climate.onebuilding.org/WMO_Region_4_North_and_Central_America/CAN_Canada/MB_Manitoba/CAN_MB_Churchill.CS.716960_TMYx.2009-2023.zip</v>
      </c>
    </row>
    <row r="2388" spans="1:10" x14ac:dyDescent="0.25">
      <c r="A2388" t="s">
        <v>6</v>
      </c>
      <c r="B2388" t="s">
        <v>94</v>
      </c>
      <c r="C2388" t="s">
        <v>1199</v>
      </c>
      <c r="D2388">
        <v>716960</v>
      </c>
      <c r="E2388" t="s">
        <v>10</v>
      </c>
      <c r="F2388">
        <v>58.739170000000001</v>
      </c>
      <c r="G2388">
        <v>-94.07</v>
      </c>
      <c r="H2388">
        <v>-6</v>
      </c>
      <c r="I2388">
        <v>29</v>
      </c>
      <c r="J2388" t="str">
        <f>HYPERLINK("https://climate.onebuilding.org/WMO_Region_4_North_and_Central_America/CAN_Canada/MB_Manitoba/CAN_MB_Churchill.CS.716960_TMYx.zip")</f>
        <v>https://climate.onebuilding.org/WMO_Region_4_North_and_Central_America/CAN_Canada/MB_Manitoba/CAN_MB_Churchill.CS.716960_TMYx.zip</v>
      </c>
    </row>
    <row r="2389" spans="1:10" x14ac:dyDescent="0.25">
      <c r="A2389" t="s">
        <v>6</v>
      </c>
      <c r="B2389" t="s">
        <v>130</v>
      </c>
      <c r="C2389" t="s">
        <v>1200</v>
      </c>
      <c r="D2389">
        <v>716970</v>
      </c>
      <c r="E2389" t="s">
        <v>1201</v>
      </c>
      <c r="F2389">
        <v>43.922800000000002</v>
      </c>
      <c r="G2389">
        <v>-78.883300000000006</v>
      </c>
      <c r="H2389">
        <v>-5</v>
      </c>
      <c r="I2389">
        <v>139.9</v>
      </c>
      <c r="J2389" t="str">
        <f>HYPERLINK("https://climate.onebuilding.org/WMO_Region_4_North_and_Central_America/CAN_Canada/ON_Ontario/CAN_ON_Oshawa.Muni.AP.716970_TMYx.2004-2018.zip")</f>
        <v>https://climate.onebuilding.org/WMO_Region_4_North_and_Central_America/CAN_Canada/ON_Ontario/CAN_ON_Oshawa.Muni.AP.716970_TMYx.2004-2018.zip</v>
      </c>
    </row>
    <row r="2390" spans="1:10" x14ac:dyDescent="0.25">
      <c r="A2390" t="s">
        <v>6</v>
      </c>
      <c r="B2390" t="s">
        <v>130</v>
      </c>
      <c r="C2390" t="s">
        <v>1200</v>
      </c>
      <c r="D2390">
        <v>716970</v>
      </c>
      <c r="E2390" t="s">
        <v>10</v>
      </c>
      <c r="F2390">
        <v>43.92</v>
      </c>
      <c r="G2390">
        <v>-78.893000000000001</v>
      </c>
      <c r="H2390">
        <v>-5</v>
      </c>
      <c r="I2390">
        <v>139.9</v>
      </c>
      <c r="J2390" t="str">
        <f>HYPERLINK("https://climate.onebuilding.org/WMO_Region_4_North_and_Central_America/CAN_Canada/ON_Ontario/CAN_ON_Oshawa.Muni.AP.716970_TMYx.2007-2021.zip")</f>
        <v>https://climate.onebuilding.org/WMO_Region_4_North_and_Central_America/CAN_Canada/ON_Ontario/CAN_ON_Oshawa.Muni.AP.716970_TMYx.2007-2021.zip</v>
      </c>
    </row>
    <row r="2391" spans="1:10" x14ac:dyDescent="0.25">
      <c r="A2391" t="s">
        <v>6</v>
      </c>
      <c r="B2391" t="s">
        <v>130</v>
      </c>
      <c r="C2391" t="s">
        <v>1200</v>
      </c>
      <c r="D2391">
        <v>716970</v>
      </c>
      <c r="E2391" t="s">
        <v>10</v>
      </c>
      <c r="F2391">
        <v>43.92</v>
      </c>
      <c r="G2391">
        <v>-78.893000000000001</v>
      </c>
      <c r="H2391">
        <v>-5</v>
      </c>
      <c r="I2391">
        <v>139.9</v>
      </c>
      <c r="J2391" t="str">
        <f>HYPERLINK("https://climate.onebuilding.org/WMO_Region_4_North_and_Central_America/CAN_Canada/ON_Ontario/CAN_ON_Oshawa.Muni.AP.716970_TMYx.2009-2023.zip")</f>
        <v>https://climate.onebuilding.org/WMO_Region_4_North_and_Central_America/CAN_Canada/ON_Ontario/CAN_ON_Oshawa.Muni.AP.716970_TMYx.2009-2023.zip</v>
      </c>
    </row>
    <row r="2392" spans="1:10" x14ac:dyDescent="0.25">
      <c r="A2392" t="s">
        <v>6</v>
      </c>
      <c r="B2392" t="s">
        <v>130</v>
      </c>
      <c r="C2392" t="s">
        <v>1200</v>
      </c>
      <c r="D2392">
        <v>716970</v>
      </c>
      <c r="E2392" t="s">
        <v>10</v>
      </c>
      <c r="F2392">
        <v>43.92</v>
      </c>
      <c r="G2392">
        <v>-78.893000000000001</v>
      </c>
      <c r="H2392">
        <v>-5</v>
      </c>
      <c r="I2392">
        <v>139.9</v>
      </c>
      <c r="J2392" t="str">
        <f>HYPERLINK("https://climate.onebuilding.org/WMO_Region_4_North_and_Central_America/CAN_Canada/ON_Ontario/CAN_ON_Oshawa.Muni.AP.716970_TMYx.zip")</f>
        <v>https://climate.onebuilding.org/WMO_Region_4_North_and_Central_America/CAN_Canada/ON_Ontario/CAN_ON_Oshawa.Muni.AP.716970_TMYx.zip</v>
      </c>
    </row>
    <row r="2393" spans="1:10" x14ac:dyDescent="0.25">
      <c r="A2393" t="s">
        <v>6</v>
      </c>
      <c r="B2393" t="s">
        <v>45</v>
      </c>
      <c r="C2393" t="s">
        <v>1202</v>
      </c>
      <c r="D2393">
        <v>716990</v>
      </c>
      <c r="E2393" t="s">
        <v>1203</v>
      </c>
      <c r="F2393">
        <v>45.067</v>
      </c>
      <c r="G2393">
        <v>-66.45</v>
      </c>
      <c r="H2393">
        <v>-4</v>
      </c>
      <c r="I2393">
        <v>6</v>
      </c>
      <c r="J2393" t="str">
        <f>HYPERLINK("https://climate.onebuilding.org/WMO_Region_4_North_and_Central_America/CAN_Canada/NB_New_Brunswick/CAN_NB_Point.Lepreau.716990_TMYx.2004-2018.zip")</f>
        <v>https://climate.onebuilding.org/WMO_Region_4_North_and_Central_America/CAN_Canada/NB_New_Brunswick/CAN_NB_Point.Lepreau.716990_TMYx.2004-2018.zip</v>
      </c>
    </row>
    <row r="2394" spans="1:10" x14ac:dyDescent="0.25">
      <c r="A2394" t="s">
        <v>6</v>
      </c>
      <c r="B2394" t="s">
        <v>45</v>
      </c>
      <c r="C2394" t="s">
        <v>1202</v>
      </c>
      <c r="D2394">
        <v>716990</v>
      </c>
      <c r="E2394" t="s">
        <v>10</v>
      </c>
      <c r="F2394">
        <v>45.058999999999997</v>
      </c>
      <c r="G2394">
        <v>-66.459000000000003</v>
      </c>
      <c r="H2394">
        <v>-4</v>
      </c>
      <c r="I2394">
        <v>6</v>
      </c>
      <c r="J2394" t="str">
        <f>HYPERLINK("https://climate.onebuilding.org/WMO_Region_4_North_and_Central_America/CAN_Canada/NB_New_Brunswick/CAN_NB_Point.Lepreau.716990_TMYx.2007-2021.zip")</f>
        <v>https://climate.onebuilding.org/WMO_Region_4_North_and_Central_America/CAN_Canada/NB_New_Brunswick/CAN_NB_Point.Lepreau.716990_TMYx.2007-2021.zip</v>
      </c>
    </row>
    <row r="2395" spans="1:10" x14ac:dyDescent="0.25">
      <c r="A2395" t="s">
        <v>6</v>
      </c>
      <c r="B2395" t="s">
        <v>45</v>
      </c>
      <c r="C2395" t="s">
        <v>1202</v>
      </c>
      <c r="D2395">
        <v>716990</v>
      </c>
      <c r="E2395" t="s">
        <v>10</v>
      </c>
      <c r="F2395">
        <v>45.058999999999997</v>
      </c>
      <c r="G2395">
        <v>-66.459000000000003</v>
      </c>
      <c r="H2395">
        <v>-4</v>
      </c>
      <c r="I2395">
        <v>6</v>
      </c>
      <c r="J2395" t="str">
        <f>HYPERLINK("https://climate.onebuilding.org/WMO_Region_4_North_and_Central_America/CAN_Canada/NB_New_Brunswick/CAN_NB_Point.Lepreau.716990_TMYx.2009-2023.zip")</f>
        <v>https://climate.onebuilding.org/WMO_Region_4_North_and_Central_America/CAN_Canada/NB_New_Brunswick/CAN_NB_Point.Lepreau.716990_TMYx.2009-2023.zip</v>
      </c>
    </row>
    <row r="2396" spans="1:10" x14ac:dyDescent="0.25">
      <c r="A2396" t="s">
        <v>6</v>
      </c>
      <c r="B2396" t="s">
        <v>45</v>
      </c>
      <c r="C2396" t="s">
        <v>1202</v>
      </c>
      <c r="D2396">
        <v>716990</v>
      </c>
      <c r="E2396" t="s">
        <v>10</v>
      </c>
      <c r="F2396">
        <v>45.058999999999997</v>
      </c>
      <c r="G2396">
        <v>-66.459000000000003</v>
      </c>
      <c r="H2396">
        <v>-4</v>
      </c>
      <c r="I2396">
        <v>6</v>
      </c>
      <c r="J2396" t="str">
        <f>HYPERLINK("https://climate.onebuilding.org/WMO_Region_4_North_and_Central_America/CAN_Canada/NB_New_Brunswick/CAN_NB_Point.Lepreau.716990_TMYx.zip")</f>
        <v>https://climate.onebuilding.org/WMO_Region_4_North_and_Central_America/CAN_Canada/NB_New_Brunswick/CAN_NB_Point.Lepreau.716990_TMYx.zip</v>
      </c>
    </row>
    <row r="2397" spans="1:10" x14ac:dyDescent="0.25">
      <c r="A2397" t="s">
        <v>6</v>
      </c>
      <c r="B2397" t="s">
        <v>45</v>
      </c>
      <c r="C2397" t="s">
        <v>1204</v>
      </c>
      <c r="D2397">
        <v>717000</v>
      </c>
      <c r="E2397" t="s">
        <v>1205</v>
      </c>
      <c r="F2397">
        <v>45.868899999999996</v>
      </c>
      <c r="G2397">
        <v>-66.537199999999999</v>
      </c>
      <c r="H2397">
        <v>-4</v>
      </c>
      <c r="I2397">
        <v>20.7</v>
      </c>
      <c r="J2397" t="str">
        <f>HYPERLINK("https://climate.onebuilding.org/WMO_Region_4_North_and_Central_America/CAN_Canada/NB_New_Brunswick/CAN_NB_Fredericton.Intl.AP.717000_TMYx.2004-2018.zip")</f>
        <v>https://climate.onebuilding.org/WMO_Region_4_North_and_Central_America/CAN_Canada/NB_New_Brunswick/CAN_NB_Fredericton.Intl.AP.717000_TMYx.2004-2018.zip</v>
      </c>
    </row>
    <row r="2398" spans="1:10" x14ac:dyDescent="0.25">
      <c r="A2398" t="s">
        <v>6</v>
      </c>
      <c r="B2398" t="s">
        <v>45</v>
      </c>
      <c r="C2398" t="s">
        <v>1204</v>
      </c>
      <c r="D2398">
        <v>717000</v>
      </c>
      <c r="E2398" t="s">
        <v>10</v>
      </c>
      <c r="F2398">
        <v>45.868899999999996</v>
      </c>
      <c r="G2398">
        <v>-66.537199999999999</v>
      </c>
      <c r="H2398">
        <v>-4</v>
      </c>
      <c r="I2398">
        <v>20.7</v>
      </c>
      <c r="J2398" t="str">
        <f>HYPERLINK("https://climate.onebuilding.org/WMO_Region_4_North_and_Central_America/CAN_Canada/NB_New_Brunswick/CAN_NB_Fredericton.Intl.AP.717000_TMYx.2007-2021.zip")</f>
        <v>https://climate.onebuilding.org/WMO_Region_4_North_and_Central_America/CAN_Canada/NB_New_Brunswick/CAN_NB_Fredericton.Intl.AP.717000_TMYx.2007-2021.zip</v>
      </c>
    </row>
    <row r="2399" spans="1:10" x14ac:dyDescent="0.25">
      <c r="A2399" t="s">
        <v>6</v>
      </c>
      <c r="B2399" t="s">
        <v>45</v>
      </c>
      <c r="C2399" t="s">
        <v>1204</v>
      </c>
      <c r="D2399">
        <v>717000</v>
      </c>
      <c r="E2399" t="s">
        <v>10</v>
      </c>
      <c r="F2399">
        <v>45.868899999999996</v>
      </c>
      <c r="G2399">
        <v>-66.537199999999999</v>
      </c>
      <c r="H2399">
        <v>-4</v>
      </c>
      <c r="I2399">
        <v>20.7</v>
      </c>
      <c r="J2399" t="str">
        <f>HYPERLINK("https://climate.onebuilding.org/WMO_Region_4_North_and_Central_America/CAN_Canada/NB_New_Brunswick/CAN_NB_Fredericton.Intl.AP.717000_TMYx.2009-2023.zip")</f>
        <v>https://climate.onebuilding.org/WMO_Region_4_North_and_Central_America/CAN_Canada/NB_New_Brunswick/CAN_NB_Fredericton.Intl.AP.717000_TMYx.2009-2023.zip</v>
      </c>
    </row>
    <row r="2400" spans="1:10" x14ac:dyDescent="0.25">
      <c r="A2400" t="s">
        <v>6</v>
      </c>
      <c r="B2400" t="s">
        <v>45</v>
      </c>
      <c r="C2400" t="s">
        <v>1204</v>
      </c>
      <c r="D2400">
        <v>717000</v>
      </c>
      <c r="E2400" t="s">
        <v>10</v>
      </c>
      <c r="F2400">
        <v>45.868899999999996</v>
      </c>
      <c r="G2400">
        <v>-66.537199999999999</v>
      </c>
      <c r="H2400">
        <v>-4</v>
      </c>
      <c r="I2400">
        <v>20.7</v>
      </c>
      <c r="J2400" t="str">
        <f>HYPERLINK("https://climate.onebuilding.org/WMO_Region_4_North_and_Central_America/CAN_Canada/NB_New_Brunswick/CAN_NB_Fredericton.Intl.AP.717000_TMYx.zip")</f>
        <v>https://climate.onebuilding.org/WMO_Region_4_North_and_Central_America/CAN_Canada/NB_New_Brunswick/CAN_NB_Fredericton.Intl.AP.717000_TMYx.zip</v>
      </c>
    </row>
    <row r="2401" spans="1:10" x14ac:dyDescent="0.25">
      <c r="A2401" t="s">
        <v>6</v>
      </c>
      <c r="B2401" t="s">
        <v>45</v>
      </c>
      <c r="C2401" t="s">
        <v>1206</v>
      </c>
      <c r="D2401">
        <v>717010</v>
      </c>
      <c r="E2401" t="s">
        <v>1207</v>
      </c>
      <c r="F2401">
        <v>45.832999999999998</v>
      </c>
      <c r="G2401">
        <v>-66.433000000000007</v>
      </c>
      <c r="H2401">
        <v>-4</v>
      </c>
      <c r="I2401">
        <v>51</v>
      </c>
      <c r="J2401" t="str">
        <f>HYPERLINK("https://climate.onebuilding.org/WMO_Region_4_North_and_Central_America/CAN_Canada/NB_New_Brunswick/CAN_NB_CFB.Gagetown.717010_TMYx.2004-2018.zip")</f>
        <v>https://climate.onebuilding.org/WMO_Region_4_North_and_Central_America/CAN_Canada/NB_New_Brunswick/CAN_NB_CFB.Gagetown.717010_TMYx.2004-2018.zip</v>
      </c>
    </row>
    <row r="2402" spans="1:10" x14ac:dyDescent="0.25">
      <c r="A2402" t="s">
        <v>6</v>
      </c>
      <c r="B2402" t="s">
        <v>45</v>
      </c>
      <c r="C2402" t="s">
        <v>1206</v>
      </c>
      <c r="D2402">
        <v>717010</v>
      </c>
      <c r="E2402" t="s">
        <v>10</v>
      </c>
      <c r="F2402">
        <v>45.8384</v>
      </c>
      <c r="G2402">
        <v>-66.433099999999996</v>
      </c>
      <c r="H2402">
        <v>-4</v>
      </c>
      <c r="I2402">
        <v>51</v>
      </c>
      <c r="J2402" t="str">
        <f>HYPERLINK("https://climate.onebuilding.org/WMO_Region_4_North_and_Central_America/CAN_Canada/NB_New_Brunswick/CAN_NB_CFB.Gagetown.717010_TMYx.2007-2021.zip")</f>
        <v>https://climate.onebuilding.org/WMO_Region_4_North_and_Central_America/CAN_Canada/NB_New_Brunswick/CAN_NB_CFB.Gagetown.717010_TMYx.2007-2021.zip</v>
      </c>
    </row>
    <row r="2403" spans="1:10" x14ac:dyDescent="0.25">
      <c r="A2403" t="s">
        <v>6</v>
      </c>
      <c r="B2403" t="s">
        <v>45</v>
      </c>
      <c r="C2403" t="s">
        <v>1206</v>
      </c>
      <c r="D2403">
        <v>717010</v>
      </c>
      <c r="E2403" t="s">
        <v>10</v>
      </c>
      <c r="F2403">
        <v>45.8384</v>
      </c>
      <c r="G2403">
        <v>-66.433099999999996</v>
      </c>
      <c r="H2403">
        <v>-4</v>
      </c>
      <c r="I2403">
        <v>51</v>
      </c>
      <c r="J2403" t="str">
        <f>HYPERLINK("https://climate.onebuilding.org/WMO_Region_4_North_and_Central_America/CAN_Canada/NB_New_Brunswick/CAN_NB_CFB.Gagetown.717010_TMYx.2009-2023.zip")</f>
        <v>https://climate.onebuilding.org/WMO_Region_4_North_and_Central_America/CAN_Canada/NB_New_Brunswick/CAN_NB_CFB.Gagetown.717010_TMYx.2009-2023.zip</v>
      </c>
    </row>
    <row r="2404" spans="1:10" x14ac:dyDescent="0.25">
      <c r="A2404" t="s">
        <v>6</v>
      </c>
      <c r="B2404" t="s">
        <v>45</v>
      </c>
      <c r="C2404" t="s">
        <v>1206</v>
      </c>
      <c r="D2404">
        <v>717010</v>
      </c>
      <c r="E2404" t="s">
        <v>10</v>
      </c>
      <c r="F2404">
        <v>45.8384</v>
      </c>
      <c r="G2404">
        <v>-66.433099999999996</v>
      </c>
      <c r="H2404">
        <v>-4</v>
      </c>
      <c r="I2404">
        <v>51</v>
      </c>
      <c r="J2404" t="str">
        <f>HYPERLINK("https://climate.onebuilding.org/WMO_Region_4_North_and_Central_America/CAN_Canada/NB_New_Brunswick/CAN_NB_CFB.Gagetown.717010_TMYx.zip")</f>
        <v>https://climate.onebuilding.org/WMO_Region_4_North_and_Central_America/CAN_Canada/NB_New_Brunswick/CAN_NB_CFB.Gagetown.717010_TMYx.zip</v>
      </c>
    </row>
    <row r="2405" spans="1:10" x14ac:dyDescent="0.25">
      <c r="A2405" t="s">
        <v>6</v>
      </c>
      <c r="B2405" t="s">
        <v>65</v>
      </c>
      <c r="C2405" t="s">
        <v>1208</v>
      </c>
      <c r="D2405">
        <v>717020</v>
      </c>
      <c r="E2405" t="s">
        <v>1209</v>
      </c>
      <c r="F2405">
        <v>46.441099999999999</v>
      </c>
      <c r="G2405">
        <v>-63.838099999999997</v>
      </c>
      <c r="H2405">
        <v>-4</v>
      </c>
      <c r="I2405">
        <v>12.2</v>
      </c>
      <c r="J2405" t="str">
        <f>HYPERLINK("https://climate.onebuilding.org/WMO_Region_4_North_and_Central_America/CAN_Canada/PE_Prince_Edward_Island/CAN_PE_Summerside.AP.717020_TMYx.2004-2018.zip")</f>
        <v>https://climate.onebuilding.org/WMO_Region_4_North_and_Central_America/CAN_Canada/PE_Prince_Edward_Island/CAN_PE_Summerside.AP.717020_TMYx.2004-2018.zip</v>
      </c>
    </row>
    <row r="2406" spans="1:10" x14ac:dyDescent="0.25">
      <c r="A2406" t="s">
        <v>6</v>
      </c>
      <c r="B2406" t="s">
        <v>65</v>
      </c>
      <c r="C2406" t="s">
        <v>1208</v>
      </c>
      <c r="D2406">
        <v>717020</v>
      </c>
      <c r="E2406" t="s">
        <v>10</v>
      </c>
      <c r="F2406">
        <v>46.441299999999998</v>
      </c>
      <c r="G2406">
        <v>-63.837499999999999</v>
      </c>
      <c r="H2406">
        <v>-4</v>
      </c>
      <c r="I2406">
        <v>12.2</v>
      </c>
      <c r="J2406" t="str">
        <f>HYPERLINK("https://climate.onebuilding.org/WMO_Region_4_North_and_Central_America/CAN_Canada/PE_Prince_Edward_Island/CAN_PE_Summerside.AP.717020_TMYx.2007-2021.zip")</f>
        <v>https://climate.onebuilding.org/WMO_Region_4_North_and_Central_America/CAN_Canada/PE_Prince_Edward_Island/CAN_PE_Summerside.AP.717020_TMYx.2007-2021.zip</v>
      </c>
    </row>
    <row r="2407" spans="1:10" x14ac:dyDescent="0.25">
      <c r="A2407" t="s">
        <v>6</v>
      </c>
      <c r="B2407" t="s">
        <v>65</v>
      </c>
      <c r="C2407" t="s">
        <v>1208</v>
      </c>
      <c r="D2407">
        <v>717020</v>
      </c>
      <c r="E2407" t="s">
        <v>10</v>
      </c>
      <c r="F2407">
        <v>46.441299999999998</v>
      </c>
      <c r="G2407">
        <v>-63.837499999999999</v>
      </c>
      <c r="H2407">
        <v>-4</v>
      </c>
      <c r="I2407">
        <v>12.2</v>
      </c>
      <c r="J2407" t="str">
        <f>HYPERLINK("https://climate.onebuilding.org/WMO_Region_4_North_and_Central_America/CAN_Canada/PE_Prince_Edward_Island/CAN_PE_Summerside.AP.717020_TMYx.2009-2023.zip")</f>
        <v>https://climate.onebuilding.org/WMO_Region_4_North_and_Central_America/CAN_Canada/PE_Prince_Edward_Island/CAN_PE_Summerside.AP.717020_TMYx.2009-2023.zip</v>
      </c>
    </row>
    <row r="2408" spans="1:10" x14ac:dyDescent="0.25">
      <c r="A2408" t="s">
        <v>6</v>
      </c>
      <c r="B2408" t="s">
        <v>65</v>
      </c>
      <c r="C2408" t="s">
        <v>1208</v>
      </c>
      <c r="D2408">
        <v>717020</v>
      </c>
      <c r="E2408" t="s">
        <v>10</v>
      </c>
      <c r="F2408">
        <v>46.441299999999998</v>
      </c>
      <c r="G2408">
        <v>-63.837499999999999</v>
      </c>
      <c r="H2408">
        <v>-4</v>
      </c>
      <c r="I2408">
        <v>12.2</v>
      </c>
      <c r="J2408" t="str">
        <f>HYPERLINK("https://climate.onebuilding.org/WMO_Region_4_North_and_Central_America/CAN_Canada/PE_Prince_Edward_Island/CAN_PE_Summerside.AP.717020_TMYx.zip")</f>
        <v>https://climate.onebuilding.org/WMO_Region_4_North_and_Central_America/CAN_Canada/PE_Prince_Edward_Island/CAN_PE_Summerside.AP.717020_TMYx.zip</v>
      </c>
    </row>
    <row r="2409" spans="1:10" x14ac:dyDescent="0.25">
      <c r="A2409" t="s">
        <v>6</v>
      </c>
      <c r="B2409" t="s">
        <v>130</v>
      </c>
      <c r="C2409" t="s">
        <v>1210</v>
      </c>
      <c r="D2409">
        <v>717040</v>
      </c>
      <c r="E2409" t="s">
        <v>1211</v>
      </c>
      <c r="F2409">
        <v>42.999400000000001</v>
      </c>
      <c r="G2409">
        <v>-82.308899999999994</v>
      </c>
      <c r="H2409">
        <v>-5</v>
      </c>
      <c r="I2409">
        <v>181.4</v>
      </c>
      <c r="J2409" t="str">
        <f>HYPERLINK("https://climate.onebuilding.org/WMO_Region_4_North_and_Central_America/CAN_Canada/ON_Ontario/CAN_ON_Sarnia-Hadfield.AP.717040_TMYx.2004-2018.zip")</f>
        <v>https://climate.onebuilding.org/WMO_Region_4_North_and_Central_America/CAN_Canada/ON_Ontario/CAN_ON_Sarnia-Hadfield.AP.717040_TMYx.2004-2018.zip</v>
      </c>
    </row>
    <row r="2410" spans="1:10" x14ac:dyDescent="0.25">
      <c r="A2410" t="s">
        <v>6</v>
      </c>
      <c r="B2410" t="s">
        <v>130</v>
      </c>
      <c r="C2410" t="s">
        <v>1210</v>
      </c>
      <c r="D2410">
        <v>717040</v>
      </c>
      <c r="E2410" t="s">
        <v>10</v>
      </c>
      <c r="F2410">
        <v>42.994999999999997</v>
      </c>
      <c r="G2410">
        <v>-82.307500000000005</v>
      </c>
      <c r="H2410">
        <v>-5</v>
      </c>
      <c r="I2410">
        <v>181.4</v>
      </c>
      <c r="J2410" t="str">
        <f>HYPERLINK("https://climate.onebuilding.org/WMO_Region_4_North_and_Central_America/CAN_Canada/ON_Ontario/CAN_ON_Sarnia-Hadfield.AP.717040_TMYx.2007-2021.zip")</f>
        <v>https://climate.onebuilding.org/WMO_Region_4_North_and_Central_America/CAN_Canada/ON_Ontario/CAN_ON_Sarnia-Hadfield.AP.717040_TMYx.2007-2021.zip</v>
      </c>
    </row>
    <row r="2411" spans="1:10" x14ac:dyDescent="0.25">
      <c r="A2411" t="s">
        <v>6</v>
      </c>
      <c r="B2411" t="s">
        <v>130</v>
      </c>
      <c r="C2411" t="s">
        <v>1210</v>
      </c>
      <c r="D2411">
        <v>717040</v>
      </c>
      <c r="E2411" t="s">
        <v>10</v>
      </c>
      <c r="F2411">
        <v>42.994999999999997</v>
      </c>
      <c r="G2411">
        <v>-82.307500000000005</v>
      </c>
      <c r="H2411">
        <v>-5</v>
      </c>
      <c r="I2411">
        <v>181.4</v>
      </c>
      <c r="J2411" t="str">
        <f>HYPERLINK("https://climate.onebuilding.org/WMO_Region_4_North_and_Central_America/CAN_Canada/ON_Ontario/CAN_ON_Sarnia-Hadfield.AP.717040_TMYx.2009-2023.zip")</f>
        <v>https://climate.onebuilding.org/WMO_Region_4_North_and_Central_America/CAN_Canada/ON_Ontario/CAN_ON_Sarnia-Hadfield.AP.717040_TMYx.2009-2023.zip</v>
      </c>
    </row>
    <row r="2412" spans="1:10" x14ac:dyDescent="0.25">
      <c r="A2412" t="s">
        <v>6</v>
      </c>
      <c r="B2412" t="s">
        <v>130</v>
      </c>
      <c r="C2412" t="s">
        <v>1210</v>
      </c>
      <c r="D2412">
        <v>717040</v>
      </c>
      <c r="E2412" t="s">
        <v>10</v>
      </c>
      <c r="F2412">
        <v>42.994999999999997</v>
      </c>
      <c r="G2412">
        <v>-82.307500000000005</v>
      </c>
      <c r="H2412">
        <v>-5</v>
      </c>
      <c r="I2412">
        <v>181.4</v>
      </c>
      <c r="J2412" t="str">
        <f>HYPERLINK("https://climate.onebuilding.org/WMO_Region_4_North_and_Central_America/CAN_Canada/ON_Ontario/CAN_ON_Sarnia-Hadfield.AP.717040_TMYx.zip")</f>
        <v>https://climate.onebuilding.org/WMO_Region_4_North_and_Central_America/CAN_Canada/ON_Ontario/CAN_ON_Sarnia-Hadfield.AP.717040_TMYx.zip</v>
      </c>
    </row>
    <row r="2413" spans="1:10" x14ac:dyDescent="0.25">
      <c r="A2413" t="s">
        <v>6</v>
      </c>
      <c r="B2413" t="s">
        <v>45</v>
      </c>
      <c r="C2413" t="s">
        <v>1212</v>
      </c>
      <c r="D2413">
        <v>717050</v>
      </c>
      <c r="E2413" t="s">
        <v>1213</v>
      </c>
      <c r="F2413">
        <v>46.1053</v>
      </c>
      <c r="G2413">
        <v>-64.683899999999994</v>
      </c>
      <c r="H2413">
        <v>-4</v>
      </c>
      <c r="I2413">
        <v>70.7</v>
      </c>
      <c r="J2413" t="str">
        <f>HYPERLINK("https://climate.onebuilding.org/WMO_Region_4_North_and_Central_America/CAN_Canada/NB_New_Brunswick/CAN_NB_Moncton-Greater.Moncton.LeBlanc.Intl.AP.717050_TMYx.2004-2018.zip")</f>
        <v>https://climate.onebuilding.org/WMO_Region_4_North_and_Central_America/CAN_Canada/NB_New_Brunswick/CAN_NB_Moncton-Greater.Moncton.LeBlanc.Intl.AP.717050_TMYx.2004-2018.zip</v>
      </c>
    </row>
    <row r="2414" spans="1:10" x14ac:dyDescent="0.25">
      <c r="A2414" t="s">
        <v>6</v>
      </c>
      <c r="B2414" t="s">
        <v>45</v>
      </c>
      <c r="C2414" t="s">
        <v>1212</v>
      </c>
      <c r="D2414">
        <v>717050</v>
      </c>
      <c r="E2414" t="s">
        <v>10</v>
      </c>
      <c r="F2414">
        <v>46.1053</v>
      </c>
      <c r="G2414">
        <v>-64.683899999999994</v>
      </c>
      <c r="H2414">
        <v>-4</v>
      </c>
      <c r="I2414">
        <v>70.7</v>
      </c>
      <c r="J2414" t="str">
        <f>HYPERLINK("https://climate.onebuilding.org/WMO_Region_4_North_and_Central_America/CAN_Canada/NB_New_Brunswick/CAN_NB_Moncton-Greater.Moncton.LeBlanc.Intl.AP.717050_TMYx.2007-2021.zip")</f>
        <v>https://climate.onebuilding.org/WMO_Region_4_North_and_Central_America/CAN_Canada/NB_New_Brunswick/CAN_NB_Moncton-Greater.Moncton.LeBlanc.Intl.AP.717050_TMYx.2007-2021.zip</v>
      </c>
    </row>
    <row r="2415" spans="1:10" x14ac:dyDescent="0.25">
      <c r="A2415" t="s">
        <v>6</v>
      </c>
      <c r="B2415" t="s">
        <v>45</v>
      </c>
      <c r="C2415" t="s">
        <v>1212</v>
      </c>
      <c r="D2415">
        <v>717050</v>
      </c>
      <c r="E2415" t="s">
        <v>10</v>
      </c>
      <c r="F2415">
        <v>46.1053</v>
      </c>
      <c r="G2415">
        <v>-64.683899999999994</v>
      </c>
      <c r="H2415">
        <v>-4</v>
      </c>
      <c r="I2415">
        <v>70.7</v>
      </c>
      <c r="J2415" t="str">
        <f>HYPERLINK("https://climate.onebuilding.org/WMO_Region_4_North_and_Central_America/CAN_Canada/NB_New_Brunswick/CAN_NB_Moncton-Greater.Moncton.LeBlanc.Intl.AP.717050_TMYx.2009-2023.zip")</f>
        <v>https://climate.onebuilding.org/WMO_Region_4_North_and_Central_America/CAN_Canada/NB_New_Brunswick/CAN_NB_Moncton-Greater.Moncton.LeBlanc.Intl.AP.717050_TMYx.2009-2023.zip</v>
      </c>
    </row>
    <row r="2416" spans="1:10" x14ac:dyDescent="0.25">
      <c r="A2416" t="s">
        <v>6</v>
      </c>
      <c r="B2416" t="s">
        <v>45</v>
      </c>
      <c r="C2416" t="s">
        <v>1212</v>
      </c>
      <c r="D2416">
        <v>717050</v>
      </c>
      <c r="E2416" t="s">
        <v>10</v>
      </c>
      <c r="F2416">
        <v>46.1053</v>
      </c>
      <c r="G2416">
        <v>-64.683899999999994</v>
      </c>
      <c r="H2416">
        <v>-4</v>
      </c>
      <c r="I2416">
        <v>70.7</v>
      </c>
      <c r="J2416" t="str">
        <f>HYPERLINK("https://climate.onebuilding.org/WMO_Region_4_North_and_Central_America/CAN_Canada/NB_New_Brunswick/CAN_NB_Moncton-Greater.Moncton.LeBlanc.Intl.AP.717050_TMYx.zip")</f>
        <v>https://climate.onebuilding.org/WMO_Region_4_North_and_Central_America/CAN_Canada/NB_New_Brunswick/CAN_NB_Moncton-Greater.Moncton.LeBlanc.Intl.AP.717050_TMYx.zip</v>
      </c>
    </row>
    <row r="2417" spans="1:10" x14ac:dyDescent="0.25">
      <c r="A2417" t="s">
        <v>6</v>
      </c>
      <c r="B2417" t="s">
        <v>65</v>
      </c>
      <c r="C2417" t="s">
        <v>1214</v>
      </c>
      <c r="D2417">
        <v>717060</v>
      </c>
      <c r="E2417" t="s">
        <v>1215</v>
      </c>
      <c r="F2417">
        <v>46.288600000000002</v>
      </c>
      <c r="G2417">
        <v>-63.128599999999999</v>
      </c>
      <c r="H2417">
        <v>-4</v>
      </c>
      <c r="I2417">
        <v>48.8</v>
      </c>
      <c r="J2417" t="str">
        <f>HYPERLINK("https://climate.onebuilding.org/WMO_Region_4_North_and_Central_America/CAN_Canada/PE_Prince_Edward_Island/CAN_PE_Charlottetown.AP.717060_TMYx.2004-2018.zip")</f>
        <v>https://climate.onebuilding.org/WMO_Region_4_North_and_Central_America/CAN_Canada/PE_Prince_Edward_Island/CAN_PE_Charlottetown.AP.717060_TMYx.2004-2018.zip</v>
      </c>
    </row>
    <row r="2418" spans="1:10" x14ac:dyDescent="0.25">
      <c r="A2418" t="s">
        <v>6</v>
      </c>
      <c r="B2418" t="s">
        <v>65</v>
      </c>
      <c r="C2418" t="s">
        <v>1214</v>
      </c>
      <c r="D2418">
        <v>717060</v>
      </c>
      <c r="E2418" t="s">
        <v>10</v>
      </c>
      <c r="F2418">
        <v>46.288600000000002</v>
      </c>
      <c r="G2418">
        <v>-63.128599999999999</v>
      </c>
      <c r="H2418">
        <v>-4</v>
      </c>
      <c r="I2418">
        <v>48.8</v>
      </c>
      <c r="J2418" t="str">
        <f>HYPERLINK("https://climate.onebuilding.org/WMO_Region_4_North_and_Central_America/CAN_Canada/PE_Prince_Edward_Island/CAN_PE_Charlottetown.AP.717060_TMYx.2007-2021.zip")</f>
        <v>https://climate.onebuilding.org/WMO_Region_4_North_and_Central_America/CAN_Canada/PE_Prince_Edward_Island/CAN_PE_Charlottetown.AP.717060_TMYx.2007-2021.zip</v>
      </c>
    </row>
    <row r="2419" spans="1:10" x14ac:dyDescent="0.25">
      <c r="A2419" t="s">
        <v>6</v>
      </c>
      <c r="B2419" t="s">
        <v>65</v>
      </c>
      <c r="C2419" t="s">
        <v>1214</v>
      </c>
      <c r="D2419">
        <v>717060</v>
      </c>
      <c r="E2419" t="s">
        <v>10</v>
      </c>
      <c r="F2419">
        <v>46.288600000000002</v>
      </c>
      <c r="G2419">
        <v>-63.128599999999999</v>
      </c>
      <c r="H2419">
        <v>-4</v>
      </c>
      <c r="I2419">
        <v>48.8</v>
      </c>
      <c r="J2419" t="str">
        <f>HYPERLINK("https://climate.onebuilding.org/WMO_Region_4_North_and_Central_America/CAN_Canada/PE_Prince_Edward_Island/CAN_PE_Charlottetown.AP.717060_TMYx.2009-2023.zip")</f>
        <v>https://climate.onebuilding.org/WMO_Region_4_North_and_Central_America/CAN_Canada/PE_Prince_Edward_Island/CAN_PE_Charlottetown.AP.717060_TMYx.2009-2023.zip</v>
      </c>
    </row>
    <row r="2420" spans="1:10" x14ac:dyDescent="0.25">
      <c r="A2420" t="s">
        <v>6</v>
      </c>
      <c r="B2420" t="s">
        <v>65</v>
      </c>
      <c r="C2420" t="s">
        <v>1214</v>
      </c>
      <c r="D2420">
        <v>717060</v>
      </c>
      <c r="E2420" t="s">
        <v>10</v>
      </c>
      <c r="F2420">
        <v>46.288600000000002</v>
      </c>
      <c r="G2420">
        <v>-63.128599999999999</v>
      </c>
      <c r="H2420">
        <v>-4</v>
      </c>
      <c r="I2420">
        <v>48.8</v>
      </c>
      <c r="J2420" t="str">
        <f>HYPERLINK("https://climate.onebuilding.org/WMO_Region_4_North_and_Central_America/CAN_Canada/PE_Prince_Edward_Island/CAN_PE_Charlottetown.AP.717060_TMYx.zip")</f>
        <v>https://climate.onebuilding.org/WMO_Region_4_North_and_Central_America/CAN_Canada/PE_Prince_Edward_Island/CAN_PE_Charlottetown.AP.717060_TMYx.zip</v>
      </c>
    </row>
    <row r="2421" spans="1:10" x14ac:dyDescent="0.25">
      <c r="A2421" t="s">
        <v>6</v>
      </c>
      <c r="B2421" t="s">
        <v>68</v>
      </c>
      <c r="C2421" t="s">
        <v>1216</v>
      </c>
      <c r="D2421">
        <v>717070</v>
      </c>
      <c r="E2421" t="s">
        <v>1217</v>
      </c>
      <c r="F2421">
        <v>46.166699999999999</v>
      </c>
      <c r="G2421">
        <v>-60.048099999999998</v>
      </c>
      <c r="H2421">
        <v>-4</v>
      </c>
      <c r="I2421">
        <v>61.9</v>
      </c>
      <c r="J2421" t="str">
        <f>HYPERLINK("https://climate.onebuilding.org/WMO_Region_4_North_and_Central_America/CAN_Canada/NS_Nova_Scotia/CAN_NS_Sydney-McCurdy.AP.717070_TMYx.2004-2018.zip")</f>
        <v>https://climate.onebuilding.org/WMO_Region_4_North_and_Central_America/CAN_Canada/NS_Nova_Scotia/CAN_NS_Sydney-McCurdy.AP.717070_TMYx.2004-2018.zip</v>
      </c>
    </row>
    <row r="2422" spans="1:10" x14ac:dyDescent="0.25">
      <c r="A2422" t="s">
        <v>6</v>
      </c>
      <c r="B2422" t="s">
        <v>68</v>
      </c>
      <c r="C2422" t="s">
        <v>1216</v>
      </c>
      <c r="D2422">
        <v>717070</v>
      </c>
      <c r="E2422" t="s">
        <v>10</v>
      </c>
      <c r="F2422">
        <v>46.162999999999997</v>
      </c>
      <c r="G2422">
        <v>-60.042999999999999</v>
      </c>
      <c r="H2422">
        <v>-4</v>
      </c>
      <c r="I2422">
        <v>61.9</v>
      </c>
      <c r="J2422" t="str">
        <f>HYPERLINK("https://climate.onebuilding.org/WMO_Region_4_North_and_Central_America/CAN_Canada/NS_Nova_Scotia/CAN_NS_Sydney-McCurdy.AP.717070_TMYx.2007-2021.zip")</f>
        <v>https://climate.onebuilding.org/WMO_Region_4_North_and_Central_America/CAN_Canada/NS_Nova_Scotia/CAN_NS_Sydney-McCurdy.AP.717070_TMYx.2007-2021.zip</v>
      </c>
    </row>
    <row r="2423" spans="1:10" x14ac:dyDescent="0.25">
      <c r="A2423" t="s">
        <v>6</v>
      </c>
      <c r="B2423" t="s">
        <v>68</v>
      </c>
      <c r="C2423" t="s">
        <v>1216</v>
      </c>
      <c r="D2423">
        <v>717070</v>
      </c>
      <c r="E2423" t="s">
        <v>10</v>
      </c>
      <c r="F2423">
        <v>46.162999999999997</v>
      </c>
      <c r="G2423">
        <v>-60.042999999999999</v>
      </c>
      <c r="H2423">
        <v>-4</v>
      </c>
      <c r="I2423">
        <v>61.9</v>
      </c>
      <c r="J2423" t="str">
        <f>HYPERLINK("https://climate.onebuilding.org/WMO_Region_4_North_and_Central_America/CAN_Canada/NS_Nova_Scotia/CAN_NS_Sydney-McCurdy.AP.717070_TMYx.2009-2023.zip")</f>
        <v>https://climate.onebuilding.org/WMO_Region_4_North_and_Central_America/CAN_Canada/NS_Nova_Scotia/CAN_NS_Sydney-McCurdy.AP.717070_TMYx.2009-2023.zip</v>
      </c>
    </row>
    <row r="2424" spans="1:10" x14ac:dyDescent="0.25">
      <c r="A2424" t="s">
        <v>6</v>
      </c>
      <c r="B2424" t="s">
        <v>68</v>
      </c>
      <c r="C2424" t="s">
        <v>1216</v>
      </c>
      <c r="D2424">
        <v>717070</v>
      </c>
      <c r="E2424" t="s">
        <v>10</v>
      </c>
      <c r="F2424">
        <v>46.162999999999997</v>
      </c>
      <c r="G2424">
        <v>-60.042999999999999</v>
      </c>
      <c r="H2424">
        <v>-4</v>
      </c>
      <c r="I2424">
        <v>61.9</v>
      </c>
      <c r="J2424" t="str">
        <f>HYPERLINK("https://climate.onebuilding.org/WMO_Region_4_North_and_Central_America/CAN_Canada/NS_Nova_Scotia/CAN_NS_Sydney-McCurdy.AP.717070_TMYx.zip")</f>
        <v>https://climate.onebuilding.org/WMO_Region_4_North_and_Central_America/CAN_Canada/NS_Nova_Scotia/CAN_NS_Sydney-McCurdy.AP.717070_TMYx.zip</v>
      </c>
    </row>
    <row r="2425" spans="1:10" x14ac:dyDescent="0.25">
      <c r="A2425" t="s">
        <v>6</v>
      </c>
      <c r="B2425" t="s">
        <v>68</v>
      </c>
      <c r="C2425" t="s">
        <v>1218</v>
      </c>
      <c r="D2425">
        <v>717075</v>
      </c>
      <c r="E2425" t="s">
        <v>10</v>
      </c>
      <c r="F2425">
        <v>46.232999999999997</v>
      </c>
      <c r="G2425">
        <v>-61.3</v>
      </c>
      <c r="H2425">
        <v>-4</v>
      </c>
      <c r="I2425">
        <v>41</v>
      </c>
      <c r="J2425" t="str">
        <f>HYPERLINK("https://climate.onebuilding.org/WMO_Region_4_North_and_Central_America/CAN_Canada/NS_Nova_Scotia/CAN_NS_Inverness.717075_TMYx.zip")</f>
        <v>https://climate.onebuilding.org/WMO_Region_4_North_and_Central_America/CAN_Canada/NS_Nova_Scotia/CAN_NS_Inverness.717075_TMYx.zip</v>
      </c>
    </row>
    <row r="2426" spans="1:10" x14ac:dyDescent="0.25">
      <c r="A2426" t="s">
        <v>6</v>
      </c>
      <c r="B2426" t="s">
        <v>14</v>
      </c>
      <c r="C2426" t="s">
        <v>1219</v>
      </c>
      <c r="D2426">
        <v>717100</v>
      </c>
      <c r="E2426" t="s">
        <v>1220</v>
      </c>
      <c r="F2426">
        <v>47.4253</v>
      </c>
      <c r="G2426">
        <v>-61.774700000000003</v>
      </c>
      <c r="H2426">
        <v>-4</v>
      </c>
      <c r="I2426">
        <v>7.6</v>
      </c>
      <c r="J2426" t="str">
        <f>HYPERLINK("https://climate.onebuilding.org/WMO_Region_4_North_and_Central_America/CAN_Canada/QC_Quebec/CAN_QC_Iles.de.la.Madeleine.AP.717100_TMYx.2004-2018.zip")</f>
        <v>https://climate.onebuilding.org/WMO_Region_4_North_and_Central_America/CAN_Canada/QC_Quebec/CAN_QC_Iles.de.la.Madeleine.AP.717100_TMYx.2004-2018.zip</v>
      </c>
    </row>
    <row r="2427" spans="1:10" x14ac:dyDescent="0.25">
      <c r="A2427" t="s">
        <v>6</v>
      </c>
      <c r="B2427" t="s">
        <v>14</v>
      </c>
      <c r="C2427" t="s">
        <v>1219</v>
      </c>
      <c r="D2427">
        <v>717100</v>
      </c>
      <c r="E2427" t="s">
        <v>10</v>
      </c>
      <c r="F2427">
        <v>47.4253</v>
      </c>
      <c r="G2427">
        <v>-61.774700000000003</v>
      </c>
      <c r="H2427">
        <v>-4</v>
      </c>
      <c r="I2427">
        <v>7.6</v>
      </c>
      <c r="J2427" t="str">
        <f>HYPERLINK("https://climate.onebuilding.org/WMO_Region_4_North_and_Central_America/CAN_Canada/QC_Quebec/CAN_QC_Iles.de.la.Madeleine.AP.717100_TMYx.2007-2021.zip")</f>
        <v>https://climate.onebuilding.org/WMO_Region_4_North_and_Central_America/CAN_Canada/QC_Quebec/CAN_QC_Iles.de.la.Madeleine.AP.717100_TMYx.2007-2021.zip</v>
      </c>
    </row>
    <row r="2428" spans="1:10" x14ac:dyDescent="0.25">
      <c r="A2428" t="s">
        <v>6</v>
      </c>
      <c r="B2428" t="s">
        <v>14</v>
      </c>
      <c r="C2428" t="s">
        <v>1219</v>
      </c>
      <c r="D2428">
        <v>717100</v>
      </c>
      <c r="E2428" t="s">
        <v>10</v>
      </c>
      <c r="F2428">
        <v>47.4253</v>
      </c>
      <c r="G2428">
        <v>-61.774700000000003</v>
      </c>
      <c r="H2428">
        <v>-4</v>
      </c>
      <c r="I2428">
        <v>7.6</v>
      </c>
      <c r="J2428" t="str">
        <f>HYPERLINK("https://climate.onebuilding.org/WMO_Region_4_North_and_Central_America/CAN_Canada/QC_Quebec/CAN_QC_Iles.de.la.Madeleine.AP.717100_TMYx.2009-2023.zip")</f>
        <v>https://climate.onebuilding.org/WMO_Region_4_North_and_Central_America/CAN_Canada/QC_Quebec/CAN_QC_Iles.de.la.Madeleine.AP.717100_TMYx.2009-2023.zip</v>
      </c>
    </row>
    <row r="2429" spans="1:10" x14ac:dyDescent="0.25">
      <c r="A2429" t="s">
        <v>6</v>
      </c>
      <c r="B2429" t="s">
        <v>14</v>
      </c>
      <c r="C2429" t="s">
        <v>1219</v>
      </c>
      <c r="D2429">
        <v>717100</v>
      </c>
      <c r="E2429" t="s">
        <v>10</v>
      </c>
      <c r="F2429">
        <v>47.4253</v>
      </c>
      <c r="G2429">
        <v>-61.774700000000003</v>
      </c>
      <c r="H2429">
        <v>-4</v>
      </c>
      <c r="I2429">
        <v>7.6</v>
      </c>
      <c r="J2429" t="str">
        <f>HYPERLINK("https://climate.onebuilding.org/WMO_Region_4_North_and_Central_America/CAN_Canada/QC_Quebec/CAN_QC_Iles.de.la.Madeleine.AP.717100_TMYx.zip")</f>
        <v>https://climate.onebuilding.org/WMO_Region_4_North_and_Central_America/CAN_Canada/QC_Quebec/CAN_QC_Iles.de.la.Madeleine.AP.717100_TMYx.zip</v>
      </c>
    </row>
    <row r="2430" spans="1:10" x14ac:dyDescent="0.25">
      <c r="A2430" t="s">
        <v>6</v>
      </c>
      <c r="B2430" t="s">
        <v>14</v>
      </c>
      <c r="C2430" t="s">
        <v>1221</v>
      </c>
      <c r="D2430">
        <v>717120</v>
      </c>
      <c r="E2430" t="s">
        <v>1222</v>
      </c>
      <c r="F2430">
        <v>45.120800000000003</v>
      </c>
      <c r="G2430">
        <v>-74.289400000000001</v>
      </c>
      <c r="H2430">
        <v>-5</v>
      </c>
      <c r="I2430">
        <v>49.1</v>
      </c>
      <c r="J2430" t="str">
        <f>HYPERLINK("https://climate.onebuilding.org/WMO_Region_4_North_and_Central_America/CAN_Canada/QC_Quebec/CAN_QC_St.Anicet.717120_TMYx.2004-2018.zip")</f>
        <v>https://climate.onebuilding.org/WMO_Region_4_North_and_Central_America/CAN_Canada/QC_Quebec/CAN_QC_St.Anicet.717120_TMYx.2004-2018.zip</v>
      </c>
    </row>
    <row r="2431" spans="1:10" x14ac:dyDescent="0.25">
      <c r="A2431" t="s">
        <v>6</v>
      </c>
      <c r="B2431" t="s">
        <v>14</v>
      </c>
      <c r="C2431" t="s">
        <v>1221</v>
      </c>
      <c r="D2431">
        <v>717120</v>
      </c>
      <c r="E2431" t="s">
        <v>10</v>
      </c>
      <c r="F2431">
        <v>45.120800000000003</v>
      </c>
      <c r="G2431">
        <v>-74.289400000000001</v>
      </c>
      <c r="H2431">
        <v>-5</v>
      </c>
      <c r="I2431">
        <v>49.1</v>
      </c>
      <c r="J2431" t="str">
        <f>HYPERLINK("https://climate.onebuilding.org/WMO_Region_4_North_and_Central_America/CAN_Canada/QC_Quebec/CAN_QC_St.Anicet.717120_TMYx.2007-2021.zip")</f>
        <v>https://climate.onebuilding.org/WMO_Region_4_North_and_Central_America/CAN_Canada/QC_Quebec/CAN_QC_St.Anicet.717120_TMYx.2007-2021.zip</v>
      </c>
    </row>
    <row r="2432" spans="1:10" x14ac:dyDescent="0.25">
      <c r="A2432" t="s">
        <v>6</v>
      </c>
      <c r="B2432" t="s">
        <v>14</v>
      </c>
      <c r="C2432" t="s">
        <v>1221</v>
      </c>
      <c r="D2432">
        <v>717120</v>
      </c>
      <c r="E2432" t="s">
        <v>10</v>
      </c>
      <c r="F2432">
        <v>45.120800000000003</v>
      </c>
      <c r="G2432">
        <v>-74.289400000000001</v>
      </c>
      <c r="H2432">
        <v>-5</v>
      </c>
      <c r="I2432">
        <v>49.1</v>
      </c>
      <c r="J2432" t="str">
        <f>HYPERLINK("https://climate.onebuilding.org/WMO_Region_4_North_and_Central_America/CAN_Canada/QC_Quebec/CAN_QC_St.Anicet.717120_TMYx.2009-2023.zip")</f>
        <v>https://climate.onebuilding.org/WMO_Region_4_North_and_Central_America/CAN_Canada/QC_Quebec/CAN_QC_St.Anicet.717120_TMYx.2009-2023.zip</v>
      </c>
    </row>
    <row r="2433" spans="1:10" x14ac:dyDescent="0.25">
      <c r="A2433" t="s">
        <v>6</v>
      </c>
      <c r="B2433" t="s">
        <v>14</v>
      </c>
      <c r="C2433" t="s">
        <v>1221</v>
      </c>
      <c r="D2433">
        <v>717120</v>
      </c>
      <c r="E2433" t="s">
        <v>10</v>
      </c>
      <c r="F2433">
        <v>45.120800000000003</v>
      </c>
      <c r="G2433">
        <v>-74.289400000000001</v>
      </c>
      <c r="H2433">
        <v>-5</v>
      </c>
      <c r="I2433">
        <v>49.1</v>
      </c>
      <c r="J2433" t="str">
        <f>HYPERLINK("https://climate.onebuilding.org/WMO_Region_4_North_and_Central_America/CAN_Canada/QC_Quebec/CAN_QC_St.Anicet.717120_TMYx.zip")</f>
        <v>https://climate.onebuilding.org/WMO_Region_4_North_and_Central_America/CAN_Canada/QC_Quebec/CAN_QC_St.Anicet.717120_TMYx.zip</v>
      </c>
    </row>
    <row r="2434" spans="1:10" x14ac:dyDescent="0.25">
      <c r="A2434" t="s">
        <v>6</v>
      </c>
      <c r="B2434" t="s">
        <v>14</v>
      </c>
      <c r="C2434" t="s">
        <v>1223</v>
      </c>
      <c r="D2434">
        <v>717130</v>
      </c>
      <c r="E2434" t="s">
        <v>1224</v>
      </c>
      <c r="F2434">
        <v>47.35</v>
      </c>
      <c r="G2434">
        <v>-70.016999999999996</v>
      </c>
      <c r="H2434">
        <v>-5</v>
      </c>
      <c r="I2434">
        <v>31</v>
      </c>
      <c r="J2434" t="str">
        <f>HYPERLINK("https://climate.onebuilding.org/WMO_Region_4_North_and_Central_America/CAN_Canada/QC_Quebec/CAN_QC_La.Pocatiere.717130_TMYx.2004-2018.zip")</f>
        <v>https://climate.onebuilding.org/WMO_Region_4_North_and_Central_America/CAN_Canada/QC_Quebec/CAN_QC_La.Pocatiere.717130_TMYx.2004-2018.zip</v>
      </c>
    </row>
    <row r="2435" spans="1:10" x14ac:dyDescent="0.25">
      <c r="A2435" t="s">
        <v>6</v>
      </c>
      <c r="B2435" t="s">
        <v>14</v>
      </c>
      <c r="C2435" t="s">
        <v>1223</v>
      </c>
      <c r="D2435">
        <v>717130</v>
      </c>
      <c r="E2435" t="s">
        <v>10</v>
      </c>
      <c r="F2435">
        <v>47.353999999999999</v>
      </c>
      <c r="G2435">
        <v>-70.028999999999996</v>
      </c>
      <c r="H2435">
        <v>-5</v>
      </c>
      <c r="I2435">
        <v>31</v>
      </c>
      <c r="J2435" t="str">
        <f>HYPERLINK("https://climate.onebuilding.org/WMO_Region_4_North_and_Central_America/CAN_Canada/QC_Quebec/CAN_QC_La.Pocatiere.717130_TMYx.2007-2021.zip")</f>
        <v>https://climate.onebuilding.org/WMO_Region_4_North_and_Central_America/CAN_Canada/QC_Quebec/CAN_QC_La.Pocatiere.717130_TMYx.2007-2021.zip</v>
      </c>
    </row>
    <row r="2436" spans="1:10" x14ac:dyDescent="0.25">
      <c r="A2436" t="s">
        <v>6</v>
      </c>
      <c r="B2436" t="s">
        <v>14</v>
      </c>
      <c r="C2436" t="s">
        <v>1223</v>
      </c>
      <c r="D2436">
        <v>717130</v>
      </c>
      <c r="E2436" t="s">
        <v>10</v>
      </c>
      <c r="F2436">
        <v>47.353999999999999</v>
      </c>
      <c r="G2436">
        <v>-70.028999999999996</v>
      </c>
      <c r="H2436">
        <v>-5</v>
      </c>
      <c r="I2436">
        <v>31</v>
      </c>
      <c r="J2436" t="str">
        <f>HYPERLINK("https://climate.onebuilding.org/WMO_Region_4_North_and_Central_America/CAN_Canada/QC_Quebec/CAN_QC_La.Pocatiere.717130_TMYx.2009-2023.zip")</f>
        <v>https://climate.onebuilding.org/WMO_Region_4_North_and_Central_America/CAN_Canada/QC_Quebec/CAN_QC_La.Pocatiere.717130_TMYx.2009-2023.zip</v>
      </c>
    </row>
    <row r="2437" spans="1:10" x14ac:dyDescent="0.25">
      <c r="A2437" t="s">
        <v>6</v>
      </c>
      <c r="B2437" t="s">
        <v>14</v>
      </c>
      <c r="C2437" t="s">
        <v>1223</v>
      </c>
      <c r="D2437">
        <v>717130</v>
      </c>
      <c r="E2437" t="s">
        <v>10</v>
      </c>
      <c r="F2437">
        <v>47.353999999999999</v>
      </c>
      <c r="G2437">
        <v>-70.028999999999996</v>
      </c>
      <c r="H2437">
        <v>-5</v>
      </c>
      <c r="I2437">
        <v>31</v>
      </c>
      <c r="J2437" t="str">
        <f>HYPERLINK("https://climate.onebuilding.org/WMO_Region_4_North_and_Central_America/CAN_Canada/QC_Quebec/CAN_QC_La.Pocatiere.717130_TMYx.zip")</f>
        <v>https://climate.onebuilding.org/WMO_Region_4_North_and_Central_America/CAN_Canada/QC_Quebec/CAN_QC_La.Pocatiere.717130_TMYx.zip</v>
      </c>
    </row>
    <row r="2438" spans="1:10" x14ac:dyDescent="0.25">
      <c r="A2438" t="s">
        <v>6</v>
      </c>
      <c r="B2438" t="s">
        <v>14</v>
      </c>
      <c r="C2438" t="s">
        <v>1225</v>
      </c>
      <c r="D2438">
        <v>717134</v>
      </c>
      <c r="E2438" t="s">
        <v>10</v>
      </c>
      <c r="F2438">
        <v>47.597999999999999</v>
      </c>
      <c r="G2438">
        <v>-70.224000000000004</v>
      </c>
      <c r="H2438">
        <v>-5</v>
      </c>
      <c r="I2438">
        <v>297.8</v>
      </c>
      <c r="J2438" t="str">
        <f>HYPERLINK("https://climate.onebuilding.org/WMO_Region_4_North_and_Central_America/CAN_Canada/QC_Quebec/CAN_QC_Charlevoix.AP.717134_TMYx.zip")</f>
        <v>https://climate.onebuilding.org/WMO_Region_4_North_and_Central_America/CAN_Canada/QC_Quebec/CAN_QC_Charlevoix.AP.717134_TMYx.zip</v>
      </c>
    </row>
    <row r="2439" spans="1:10" x14ac:dyDescent="0.25">
      <c r="A2439" t="s">
        <v>6</v>
      </c>
      <c r="B2439" t="s">
        <v>14</v>
      </c>
      <c r="C2439" t="s">
        <v>1226</v>
      </c>
      <c r="D2439">
        <v>717140</v>
      </c>
      <c r="E2439" t="s">
        <v>1227</v>
      </c>
      <c r="F2439">
        <v>46.783000000000001</v>
      </c>
      <c r="G2439">
        <v>-71.382999999999996</v>
      </c>
      <c r="H2439">
        <v>-5</v>
      </c>
      <c r="I2439">
        <v>74</v>
      </c>
      <c r="J2439" t="str">
        <f>HYPERLINK("https://climate.onebuilding.org/WMO_Region_4_North_and_Central_America/CAN_Canada/QC_Quebec/CAN_QC_Quebec-Lesage.Intl.AP.717140_TMYx.2004-2018.zip")</f>
        <v>https://climate.onebuilding.org/WMO_Region_4_North_and_Central_America/CAN_Canada/QC_Quebec/CAN_QC_Quebec-Lesage.Intl.AP.717140_TMYx.2004-2018.zip</v>
      </c>
    </row>
    <row r="2440" spans="1:10" x14ac:dyDescent="0.25">
      <c r="A2440" t="s">
        <v>6</v>
      </c>
      <c r="B2440" t="s">
        <v>14</v>
      </c>
      <c r="C2440" t="s">
        <v>1226</v>
      </c>
      <c r="D2440">
        <v>717140</v>
      </c>
      <c r="E2440" t="s">
        <v>10</v>
      </c>
      <c r="F2440">
        <v>46.803609999999999</v>
      </c>
      <c r="G2440">
        <v>-71.38167</v>
      </c>
      <c r="H2440">
        <v>-5</v>
      </c>
      <c r="I2440">
        <v>74</v>
      </c>
      <c r="J2440" t="str">
        <f>HYPERLINK("https://climate.onebuilding.org/WMO_Region_4_North_and_Central_America/CAN_Canada/QC_Quebec/CAN_QC_Quebec-Lesage.Intl.AP.717140_TMYx.2007-2021.zip")</f>
        <v>https://climate.onebuilding.org/WMO_Region_4_North_and_Central_America/CAN_Canada/QC_Quebec/CAN_QC_Quebec-Lesage.Intl.AP.717140_TMYx.2007-2021.zip</v>
      </c>
    </row>
    <row r="2441" spans="1:10" x14ac:dyDescent="0.25">
      <c r="A2441" t="s">
        <v>6</v>
      </c>
      <c r="B2441" t="s">
        <v>14</v>
      </c>
      <c r="C2441" t="s">
        <v>1226</v>
      </c>
      <c r="D2441">
        <v>717140</v>
      </c>
      <c r="E2441" t="s">
        <v>10</v>
      </c>
      <c r="F2441">
        <v>46.803609999999999</v>
      </c>
      <c r="G2441">
        <v>-71.38167</v>
      </c>
      <c r="H2441">
        <v>-5</v>
      </c>
      <c r="I2441">
        <v>74</v>
      </c>
      <c r="J2441" t="str">
        <f>HYPERLINK("https://climate.onebuilding.org/WMO_Region_4_North_and_Central_America/CAN_Canada/QC_Quebec/CAN_QC_Quebec-Lesage.Intl.AP.717140_TMYx.2009-2023.zip")</f>
        <v>https://climate.onebuilding.org/WMO_Region_4_North_and_Central_America/CAN_Canada/QC_Quebec/CAN_QC_Quebec-Lesage.Intl.AP.717140_TMYx.2009-2023.zip</v>
      </c>
    </row>
    <row r="2442" spans="1:10" x14ac:dyDescent="0.25">
      <c r="A2442" t="s">
        <v>6</v>
      </c>
      <c r="B2442" t="s">
        <v>14</v>
      </c>
      <c r="C2442" t="s">
        <v>1226</v>
      </c>
      <c r="D2442">
        <v>717140</v>
      </c>
      <c r="E2442" t="s">
        <v>10</v>
      </c>
      <c r="F2442">
        <v>46.803609999999999</v>
      </c>
      <c r="G2442">
        <v>-71.38167</v>
      </c>
      <c r="H2442">
        <v>-5</v>
      </c>
      <c r="I2442">
        <v>74</v>
      </c>
      <c r="J2442" t="str">
        <f>HYPERLINK("https://climate.onebuilding.org/WMO_Region_4_North_and_Central_America/CAN_Canada/QC_Quebec/CAN_QC_Quebec-Lesage.Intl.AP.717140_TMYx.zip")</f>
        <v>https://climate.onebuilding.org/WMO_Region_4_North_and_Central_America/CAN_Canada/QC_Quebec/CAN_QC_Quebec-Lesage.Intl.AP.717140_TMYx.zip</v>
      </c>
    </row>
    <row r="2443" spans="1:10" x14ac:dyDescent="0.25">
      <c r="A2443" t="s">
        <v>6</v>
      </c>
      <c r="B2443" t="s">
        <v>14</v>
      </c>
      <c r="C2443" t="s">
        <v>1228</v>
      </c>
      <c r="D2443">
        <v>717150</v>
      </c>
      <c r="E2443" t="s">
        <v>1229</v>
      </c>
      <c r="F2443">
        <v>47.8</v>
      </c>
      <c r="G2443">
        <v>-69.533000000000001</v>
      </c>
      <c r="H2443">
        <v>-5</v>
      </c>
      <c r="I2443">
        <v>147</v>
      </c>
      <c r="J2443" t="str">
        <f>HYPERLINK("https://climate.onebuilding.org/WMO_Region_4_North_and_Central_America/CAN_Canada/QC_Quebec/CAN_QC_Riviere-du-Loup.717150_TMYx.2004-2018.zip")</f>
        <v>https://climate.onebuilding.org/WMO_Region_4_North_and_Central_America/CAN_Canada/QC_Quebec/CAN_QC_Riviere-du-Loup.717150_TMYx.2004-2018.zip</v>
      </c>
    </row>
    <row r="2444" spans="1:10" x14ac:dyDescent="0.25">
      <c r="A2444" t="s">
        <v>6</v>
      </c>
      <c r="B2444" t="s">
        <v>14</v>
      </c>
      <c r="C2444" t="s">
        <v>1228</v>
      </c>
      <c r="D2444">
        <v>717150</v>
      </c>
      <c r="E2444" t="s">
        <v>10</v>
      </c>
      <c r="F2444">
        <v>47.806109999999997</v>
      </c>
      <c r="G2444">
        <v>-69.548609999999996</v>
      </c>
      <c r="H2444">
        <v>-5</v>
      </c>
      <c r="I2444">
        <v>147</v>
      </c>
      <c r="J2444" t="str">
        <f>HYPERLINK("https://climate.onebuilding.org/WMO_Region_4_North_and_Central_America/CAN_Canada/QC_Quebec/CAN_QC_Riviere-du-Loup.717150_TMYx.2007-2021.zip")</f>
        <v>https://climate.onebuilding.org/WMO_Region_4_North_and_Central_America/CAN_Canada/QC_Quebec/CAN_QC_Riviere-du-Loup.717150_TMYx.2007-2021.zip</v>
      </c>
    </row>
    <row r="2445" spans="1:10" x14ac:dyDescent="0.25">
      <c r="A2445" t="s">
        <v>6</v>
      </c>
      <c r="B2445" t="s">
        <v>14</v>
      </c>
      <c r="C2445" t="s">
        <v>1228</v>
      </c>
      <c r="D2445">
        <v>717150</v>
      </c>
      <c r="E2445" t="s">
        <v>10</v>
      </c>
      <c r="F2445">
        <v>47.806109999999997</v>
      </c>
      <c r="G2445">
        <v>-69.548609999999996</v>
      </c>
      <c r="H2445">
        <v>-5</v>
      </c>
      <c r="I2445">
        <v>147</v>
      </c>
      <c r="J2445" t="str">
        <f>HYPERLINK("https://climate.onebuilding.org/WMO_Region_4_North_and_Central_America/CAN_Canada/QC_Quebec/CAN_QC_Riviere-du-Loup.717150_TMYx.2009-2023.zip")</f>
        <v>https://climate.onebuilding.org/WMO_Region_4_North_and_Central_America/CAN_Canada/QC_Quebec/CAN_QC_Riviere-du-Loup.717150_TMYx.2009-2023.zip</v>
      </c>
    </row>
    <row r="2446" spans="1:10" x14ac:dyDescent="0.25">
      <c r="A2446" t="s">
        <v>6</v>
      </c>
      <c r="B2446" t="s">
        <v>14</v>
      </c>
      <c r="C2446" t="s">
        <v>1228</v>
      </c>
      <c r="D2446">
        <v>717150</v>
      </c>
      <c r="E2446" t="s">
        <v>10</v>
      </c>
      <c r="F2446">
        <v>47.806109999999997</v>
      </c>
      <c r="G2446">
        <v>-69.548609999999996</v>
      </c>
      <c r="H2446">
        <v>-5</v>
      </c>
      <c r="I2446">
        <v>147</v>
      </c>
      <c r="J2446" t="str">
        <f>HYPERLINK("https://climate.onebuilding.org/WMO_Region_4_North_and_Central_America/CAN_Canada/QC_Quebec/CAN_QC_Riviere-du-Loup.717150_TMYx.zip")</f>
        <v>https://climate.onebuilding.org/WMO_Region_4_North_and_Central_America/CAN_Canada/QC_Quebec/CAN_QC_Riviere-du-Loup.717150_TMYx.zip</v>
      </c>
    </row>
    <row r="2447" spans="1:10" x14ac:dyDescent="0.25">
      <c r="A2447" t="s">
        <v>6</v>
      </c>
      <c r="B2447" t="s">
        <v>14</v>
      </c>
      <c r="C2447" t="s">
        <v>1230</v>
      </c>
      <c r="D2447">
        <v>717160</v>
      </c>
      <c r="E2447" t="s">
        <v>1231</v>
      </c>
      <c r="F2447">
        <v>46.9</v>
      </c>
      <c r="G2447">
        <v>-71.5</v>
      </c>
      <c r="H2447">
        <v>-5</v>
      </c>
      <c r="I2447">
        <v>167.6</v>
      </c>
      <c r="J2447" t="str">
        <f>HYPERLINK("https://climate.onebuilding.org/WMO_Region_4_North_and_Central_America/CAN_Canada/QC_Quebec/CAN_QC_Valcartier.AP.717160_TMYx.2004-2018.zip")</f>
        <v>https://climate.onebuilding.org/WMO_Region_4_North_and_Central_America/CAN_Canada/QC_Quebec/CAN_QC_Valcartier.AP.717160_TMYx.2004-2018.zip</v>
      </c>
    </row>
    <row r="2448" spans="1:10" x14ac:dyDescent="0.25">
      <c r="A2448" t="s">
        <v>6</v>
      </c>
      <c r="B2448" t="s">
        <v>14</v>
      </c>
      <c r="C2448" t="s">
        <v>1230</v>
      </c>
      <c r="D2448">
        <v>717160</v>
      </c>
      <c r="E2448" t="s">
        <v>10</v>
      </c>
      <c r="F2448">
        <v>46.900399999999998</v>
      </c>
      <c r="G2448">
        <v>-71.503200000000007</v>
      </c>
      <c r="H2448">
        <v>-5</v>
      </c>
      <c r="I2448">
        <v>167.6</v>
      </c>
      <c r="J2448" t="str">
        <f>HYPERLINK("https://climate.onebuilding.org/WMO_Region_4_North_and_Central_America/CAN_Canada/QC_Quebec/CAN_QC_Valcartier.AP.717160_TMYx.2007-2021.zip")</f>
        <v>https://climate.onebuilding.org/WMO_Region_4_North_and_Central_America/CAN_Canada/QC_Quebec/CAN_QC_Valcartier.AP.717160_TMYx.2007-2021.zip</v>
      </c>
    </row>
    <row r="2449" spans="1:10" x14ac:dyDescent="0.25">
      <c r="A2449" t="s">
        <v>6</v>
      </c>
      <c r="B2449" t="s">
        <v>14</v>
      </c>
      <c r="C2449" t="s">
        <v>1230</v>
      </c>
      <c r="D2449">
        <v>717160</v>
      </c>
      <c r="E2449" t="s">
        <v>10</v>
      </c>
      <c r="F2449">
        <v>46.900399999999998</v>
      </c>
      <c r="G2449">
        <v>-71.503200000000007</v>
      </c>
      <c r="H2449">
        <v>-5</v>
      </c>
      <c r="I2449">
        <v>167.6</v>
      </c>
      <c r="J2449" t="str">
        <f>HYPERLINK("https://climate.onebuilding.org/WMO_Region_4_North_and_Central_America/CAN_Canada/QC_Quebec/CAN_QC_Valcartier.AP.717160_TMYx.2009-2023.zip")</f>
        <v>https://climate.onebuilding.org/WMO_Region_4_North_and_Central_America/CAN_Canada/QC_Quebec/CAN_QC_Valcartier.AP.717160_TMYx.2009-2023.zip</v>
      </c>
    </row>
    <row r="2450" spans="1:10" x14ac:dyDescent="0.25">
      <c r="A2450" t="s">
        <v>6</v>
      </c>
      <c r="B2450" t="s">
        <v>14</v>
      </c>
      <c r="C2450" t="s">
        <v>1230</v>
      </c>
      <c r="D2450">
        <v>717160</v>
      </c>
      <c r="E2450" t="s">
        <v>10</v>
      </c>
      <c r="F2450">
        <v>46.900399999999998</v>
      </c>
      <c r="G2450">
        <v>-71.503200000000007</v>
      </c>
      <c r="H2450">
        <v>-5</v>
      </c>
      <c r="I2450">
        <v>167.6</v>
      </c>
      <c r="J2450" t="str">
        <f>HYPERLINK("https://climate.onebuilding.org/WMO_Region_4_North_and_Central_America/CAN_Canada/QC_Quebec/CAN_QC_Valcartier.AP.717160_TMYx.zip")</f>
        <v>https://climate.onebuilding.org/WMO_Region_4_North_and_Central_America/CAN_Canada/QC_Quebec/CAN_QC_Valcartier.AP.717160_TMYx.zip</v>
      </c>
    </row>
    <row r="2451" spans="1:10" x14ac:dyDescent="0.25">
      <c r="A2451" t="s">
        <v>6</v>
      </c>
      <c r="B2451" t="s">
        <v>14</v>
      </c>
      <c r="C2451" t="s">
        <v>1232</v>
      </c>
      <c r="D2451">
        <v>717180</v>
      </c>
      <c r="E2451" t="s">
        <v>1233</v>
      </c>
      <c r="F2451">
        <v>48.6</v>
      </c>
      <c r="G2451">
        <v>-68.216700000000003</v>
      </c>
      <c r="H2451">
        <v>-5</v>
      </c>
      <c r="I2451">
        <v>52.4</v>
      </c>
      <c r="J2451" t="str">
        <f>HYPERLINK("https://climate.onebuilding.org/WMO_Region_4_North_and_Central_America/CAN_Canada/QC_Quebec/CAN_QC_Mont.Joli.AP.717180_TMYx.2004-2018.zip")</f>
        <v>https://climate.onebuilding.org/WMO_Region_4_North_and_Central_America/CAN_Canada/QC_Quebec/CAN_QC_Mont.Joli.AP.717180_TMYx.2004-2018.zip</v>
      </c>
    </row>
    <row r="2452" spans="1:10" x14ac:dyDescent="0.25">
      <c r="A2452" t="s">
        <v>6</v>
      </c>
      <c r="B2452" t="s">
        <v>14</v>
      </c>
      <c r="C2452" t="s">
        <v>1232</v>
      </c>
      <c r="D2452">
        <v>717180</v>
      </c>
      <c r="E2452" t="s">
        <v>10</v>
      </c>
      <c r="F2452">
        <v>48.603000000000002</v>
      </c>
      <c r="G2452">
        <v>-68.209999999999994</v>
      </c>
      <c r="H2452">
        <v>-5</v>
      </c>
      <c r="I2452">
        <v>52.4</v>
      </c>
      <c r="J2452" t="str">
        <f>HYPERLINK("https://climate.onebuilding.org/WMO_Region_4_North_and_Central_America/CAN_Canada/QC_Quebec/CAN_QC_Mont.Joli.AP.717180_TMYx.2007-2021.zip")</f>
        <v>https://climate.onebuilding.org/WMO_Region_4_North_and_Central_America/CAN_Canada/QC_Quebec/CAN_QC_Mont.Joli.AP.717180_TMYx.2007-2021.zip</v>
      </c>
    </row>
    <row r="2453" spans="1:10" x14ac:dyDescent="0.25">
      <c r="A2453" t="s">
        <v>6</v>
      </c>
      <c r="B2453" t="s">
        <v>14</v>
      </c>
      <c r="C2453" t="s">
        <v>1232</v>
      </c>
      <c r="D2453">
        <v>717180</v>
      </c>
      <c r="E2453" t="s">
        <v>10</v>
      </c>
      <c r="F2453">
        <v>48.603000000000002</v>
      </c>
      <c r="G2453">
        <v>-68.209999999999994</v>
      </c>
      <c r="H2453">
        <v>-5</v>
      </c>
      <c r="I2453">
        <v>52.4</v>
      </c>
      <c r="J2453" t="str">
        <f>HYPERLINK("https://climate.onebuilding.org/WMO_Region_4_North_and_Central_America/CAN_Canada/QC_Quebec/CAN_QC_Mont.Joli.AP.717180_TMYx.2009-2023.zip")</f>
        <v>https://climate.onebuilding.org/WMO_Region_4_North_and_Central_America/CAN_Canada/QC_Quebec/CAN_QC_Mont.Joli.AP.717180_TMYx.2009-2023.zip</v>
      </c>
    </row>
    <row r="2454" spans="1:10" x14ac:dyDescent="0.25">
      <c r="A2454" t="s">
        <v>6</v>
      </c>
      <c r="B2454" t="s">
        <v>14</v>
      </c>
      <c r="C2454" t="s">
        <v>1232</v>
      </c>
      <c r="D2454">
        <v>717180</v>
      </c>
      <c r="E2454" t="s">
        <v>10</v>
      </c>
      <c r="F2454">
        <v>48.603000000000002</v>
      </c>
      <c r="G2454">
        <v>-68.209999999999994</v>
      </c>
      <c r="H2454">
        <v>-5</v>
      </c>
      <c r="I2454">
        <v>52.4</v>
      </c>
      <c r="J2454" t="str">
        <f>HYPERLINK("https://climate.onebuilding.org/WMO_Region_4_North_and_Central_America/CAN_Canada/QC_Quebec/CAN_QC_Mont.Joli.AP.717180_TMYx.zip")</f>
        <v>https://climate.onebuilding.org/WMO_Region_4_North_and_Central_America/CAN_Canada/QC_Quebec/CAN_QC_Mont.Joli.AP.717180_TMYx.zip</v>
      </c>
    </row>
    <row r="2455" spans="1:10" x14ac:dyDescent="0.25">
      <c r="A2455" t="s">
        <v>6</v>
      </c>
      <c r="B2455" t="s">
        <v>45</v>
      </c>
      <c r="C2455" t="s">
        <v>1234</v>
      </c>
      <c r="D2455">
        <v>717190</v>
      </c>
      <c r="E2455" t="s">
        <v>1235</v>
      </c>
      <c r="F2455">
        <v>48.008899999999997</v>
      </c>
      <c r="G2455">
        <v>-64.494200000000006</v>
      </c>
      <c r="H2455">
        <v>-4</v>
      </c>
      <c r="I2455">
        <v>5</v>
      </c>
      <c r="J2455" t="str">
        <f>HYPERLINK("https://climate.onebuilding.org/WMO_Region_4_North_and_Central_America/CAN_Canada/NB_New_Brunswick/CAN_NB_Miscou.Island.Lighthouse.717190_TMYx.2004-2018.zip")</f>
        <v>https://climate.onebuilding.org/WMO_Region_4_North_and_Central_America/CAN_Canada/NB_New_Brunswick/CAN_NB_Miscou.Island.Lighthouse.717190_TMYx.2004-2018.zip</v>
      </c>
    </row>
    <row r="2456" spans="1:10" x14ac:dyDescent="0.25">
      <c r="A2456" t="s">
        <v>6</v>
      </c>
      <c r="B2456" t="s">
        <v>45</v>
      </c>
      <c r="C2456" t="s">
        <v>1234</v>
      </c>
      <c r="D2456">
        <v>717190</v>
      </c>
      <c r="E2456" t="s">
        <v>10</v>
      </c>
      <c r="F2456">
        <v>48.008899999999997</v>
      </c>
      <c r="G2456">
        <v>-64.494200000000006</v>
      </c>
      <c r="H2456">
        <v>-4</v>
      </c>
      <c r="I2456">
        <v>5</v>
      </c>
      <c r="J2456" t="str">
        <f>HYPERLINK("https://climate.onebuilding.org/WMO_Region_4_North_and_Central_America/CAN_Canada/NB_New_Brunswick/CAN_NB_Miscou.Island.Lighthouse.717190_TMYx.2007-2021.zip")</f>
        <v>https://climate.onebuilding.org/WMO_Region_4_North_and_Central_America/CAN_Canada/NB_New_Brunswick/CAN_NB_Miscou.Island.Lighthouse.717190_TMYx.2007-2021.zip</v>
      </c>
    </row>
    <row r="2457" spans="1:10" x14ac:dyDescent="0.25">
      <c r="A2457" t="s">
        <v>6</v>
      </c>
      <c r="B2457" t="s">
        <v>45</v>
      </c>
      <c r="C2457" t="s">
        <v>1234</v>
      </c>
      <c r="D2457">
        <v>717190</v>
      </c>
      <c r="E2457" t="s">
        <v>10</v>
      </c>
      <c r="F2457">
        <v>48.008899999999997</v>
      </c>
      <c r="G2457">
        <v>-64.494200000000006</v>
      </c>
      <c r="H2457">
        <v>-4</v>
      </c>
      <c r="I2457">
        <v>5</v>
      </c>
      <c r="J2457" t="str">
        <f>HYPERLINK("https://climate.onebuilding.org/WMO_Region_4_North_and_Central_America/CAN_Canada/NB_New_Brunswick/CAN_NB_Miscou.Island.Lighthouse.717190_TMYx.2009-2023.zip")</f>
        <v>https://climate.onebuilding.org/WMO_Region_4_North_and_Central_America/CAN_Canada/NB_New_Brunswick/CAN_NB_Miscou.Island.Lighthouse.717190_TMYx.2009-2023.zip</v>
      </c>
    </row>
    <row r="2458" spans="1:10" x14ac:dyDescent="0.25">
      <c r="A2458" t="s">
        <v>6</v>
      </c>
      <c r="B2458" t="s">
        <v>45</v>
      </c>
      <c r="C2458" t="s">
        <v>1234</v>
      </c>
      <c r="D2458">
        <v>717190</v>
      </c>
      <c r="E2458" t="s">
        <v>10</v>
      </c>
      <c r="F2458">
        <v>48.008899999999997</v>
      </c>
      <c r="G2458">
        <v>-64.494200000000006</v>
      </c>
      <c r="H2458">
        <v>-4</v>
      </c>
      <c r="I2458">
        <v>5</v>
      </c>
      <c r="J2458" t="str">
        <f>HYPERLINK("https://climate.onebuilding.org/WMO_Region_4_North_and_Central_America/CAN_Canada/NB_New_Brunswick/CAN_NB_Miscou.Island.Lighthouse.717190_TMYx.zip")</f>
        <v>https://climate.onebuilding.org/WMO_Region_4_North_and_Central_America/CAN_Canada/NB_New_Brunswick/CAN_NB_Miscou.Island.Lighthouse.717190_TMYx.zip</v>
      </c>
    </row>
    <row r="2459" spans="1:10" x14ac:dyDescent="0.25">
      <c r="A2459" t="s">
        <v>6</v>
      </c>
      <c r="B2459" t="s">
        <v>55</v>
      </c>
      <c r="C2459" t="s">
        <v>1236</v>
      </c>
      <c r="D2459">
        <v>717200</v>
      </c>
      <c r="E2459" t="s">
        <v>1237</v>
      </c>
      <c r="F2459">
        <v>49.834400000000002</v>
      </c>
      <c r="G2459">
        <v>-124.4969</v>
      </c>
      <c r="H2459">
        <v>-8</v>
      </c>
      <c r="I2459">
        <v>125</v>
      </c>
      <c r="J2459" t="str">
        <f>HYPERLINK("https://climate.onebuilding.org/WMO_Region_4_North_and_Central_America/CAN_Canada/BC_British_Columbia/CAN_BC_Powell.River.AP.717200_TMYx.2004-2018.zip")</f>
        <v>https://climate.onebuilding.org/WMO_Region_4_North_and_Central_America/CAN_Canada/BC_British_Columbia/CAN_BC_Powell.River.AP.717200_TMYx.2004-2018.zip</v>
      </c>
    </row>
    <row r="2460" spans="1:10" x14ac:dyDescent="0.25">
      <c r="A2460" t="s">
        <v>6</v>
      </c>
      <c r="B2460" t="s">
        <v>55</v>
      </c>
      <c r="C2460" t="s">
        <v>1236</v>
      </c>
      <c r="D2460">
        <v>717200</v>
      </c>
      <c r="E2460" t="s">
        <v>10</v>
      </c>
      <c r="F2460">
        <v>49.834400000000002</v>
      </c>
      <c r="G2460">
        <v>-124.49809999999999</v>
      </c>
      <c r="H2460">
        <v>-8</v>
      </c>
      <c r="I2460">
        <v>125</v>
      </c>
      <c r="J2460" t="str">
        <f>HYPERLINK("https://climate.onebuilding.org/WMO_Region_4_North_and_Central_America/CAN_Canada/BC_British_Columbia/CAN_BC_Powell.River.AP.717200_TMYx.2007-2021.zip")</f>
        <v>https://climate.onebuilding.org/WMO_Region_4_North_and_Central_America/CAN_Canada/BC_British_Columbia/CAN_BC_Powell.River.AP.717200_TMYx.2007-2021.zip</v>
      </c>
    </row>
    <row r="2461" spans="1:10" x14ac:dyDescent="0.25">
      <c r="A2461" t="s">
        <v>6</v>
      </c>
      <c r="B2461" t="s">
        <v>55</v>
      </c>
      <c r="C2461" t="s">
        <v>1236</v>
      </c>
      <c r="D2461">
        <v>717200</v>
      </c>
      <c r="E2461" t="s">
        <v>10</v>
      </c>
      <c r="F2461">
        <v>49.834400000000002</v>
      </c>
      <c r="G2461">
        <v>-124.49809999999999</v>
      </c>
      <c r="H2461">
        <v>-8</v>
      </c>
      <c r="I2461">
        <v>125</v>
      </c>
      <c r="J2461" t="str">
        <f>HYPERLINK("https://climate.onebuilding.org/WMO_Region_4_North_and_Central_America/CAN_Canada/BC_British_Columbia/CAN_BC_Powell.River.AP.717200_TMYx.2009-2023.zip")</f>
        <v>https://climate.onebuilding.org/WMO_Region_4_North_and_Central_America/CAN_Canada/BC_British_Columbia/CAN_BC_Powell.River.AP.717200_TMYx.2009-2023.zip</v>
      </c>
    </row>
    <row r="2462" spans="1:10" x14ac:dyDescent="0.25">
      <c r="A2462" t="s">
        <v>6</v>
      </c>
      <c r="B2462" t="s">
        <v>55</v>
      </c>
      <c r="C2462" t="s">
        <v>1236</v>
      </c>
      <c r="D2462">
        <v>717200</v>
      </c>
      <c r="E2462" t="s">
        <v>10</v>
      </c>
      <c r="F2462">
        <v>49.834400000000002</v>
      </c>
      <c r="G2462">
        <v>-124.49809999999999</v>
      </c>
      <c r="H2462">
        <v>-8</v>
      </c>
      <c r="I2462">
        <v>125</v>
      </c>
      <c r="J2462" t="str">
        <f>HYPERLINK("https://climate.onebuilding.org/WMO_Region_4_North_and_Central_America/CAN_Canada/BC_British_Columbia/CAN_BC_Powell.River.AP.717200_TMYx.zip")</f>
        <v>https://climate.onebuilding.org/WMO_Region_4_North_and_Central_America/CAN_Canada/BC_British_Columbia/CAN_BC_Powell.River.AP.717200_TMYx.zip</v>
      </c>
    </row>
    <row r="2463" spans="1:10" x14ac:dyDescent="0.25">
      <c r="A2463" t="s">
        <v>6</v>
      </c>
      <c r="B2463" t="s">
        <v>14</v>
      </c>
      <c r="C2463" t="s">
        <v>1238</v>
      </c>
      <c r="D2463">
        <v>717210</v>
      </c>
      <c r="E2463" t="s">
        <v>1239</v>
      </c>
      <c r="F2463">
        <v>46.274700000000003</v>
      </c>
      <c r="G2463">
        <v>-75.991900000000001</v>
      </c>
      <c r="H2463">
        <v>-5</v>
      </c>
      <c r="I2463">
        <v>199.7</v>
      </c>
      <c r="J2463" t="str">
        <f>HYPERLINK("https://climate.onebuilding.org/WMO_Region_4_North_and_Central_America/CAN_Canada/QC_Quebec/CAN_QC_Maniwaki.AP.717210_TMYx.2004-2018.zip")</f>
        <v>https://climate.onebuilding.org/WMO_Region_4_North_and_Central_America/CAN_Canada/QC_Quebec/CAN_QC_Maniwaki.AP.717210_TMYx.2004-2018.zip</v>
      </c>
    </row>
    <row r="2464" spans="1:10" x14ac:dyDescent="0.25">
      <c r="A2464" t="s">
        <v>6</v>
      </c>
      <c r="B2464" t="s">
        <v>14</v>
      </c>
      <c r="C2464" t="s">
        <v>1238</v>
      </c>
      <c r="D2464">
        <v>717210</v>
      </c>
      <c r="E2464" t="s">
        <v>10</v>
      </c>
      <c r="F2464">
        <v>46.273609999999998</v>
      </c>
      <c r="G2464">
        <v>-75.987780000000001</v>
      </c>
      <c r="H2464">
        <v>-5</v>
      </c>
      <c r="I2464">
        <v>199.7</v>
      </c>
      <c r="J2464" t="str">
        <f>HYPERLINK("https://climate.onebuilding.org/WMO_Region_4_North_and_Central_America/CAN_Canada/QC_Quebec/CAN_QC_Maniwaki.AP.717210_TMYx.2007-2021.zip")</f>
        <v>https://climate.onebuilding.org/WMO_Region_4_North_and_Central_America/CAN_Canada/QC_Quebec/CAN_QC_Maniwaki.AP.717210_TMYx.2007-2021.zip</v>
      </c>
    </row>
    <row r="2465" spans="1:10" x14ac:dyDescent="0.25">
      <c r="A2465" t="s">
        <v>6</v>
      </c>
      <c r="B2465" t="s">
        <v>14</v>
      </c>
      <c r="C2465" t="s">
        <v>1238</v>
      </c>
      <c r="D2465">
        <v>717210</v>
      </c>
      <c r="E2465" t="s">
        <v>10</v>
      </c>
      <c r="F2465">
        <v>46.273609999999998</v>
      </c>
      <c r="G2465">
        <v>-75.987780000000001</v>
      </c>
      <c r="H2465">
        <v>-5</v>
      </c>
      <c r="I2465">
        <v>199.7</v>
      </c>
      <c r="J2465" t="str">
        <f>HYPERLINK("https://climate.onebuilding.org/WMO_Region_4_North_and_Central_America/CAN_Canada/QC_Quebec/CAN_QC_Maniwaki.AP.717210_TMYx.2009-2023.zip")</f>
        <v>https://climate.onebuilding.org/WMO_Region_4_North_and_Central_America/CAN_Canada/QC_Quebec/CAN_QC_Maniwaki.AP.717210_TMYx.2009-2023.zip</v>
      </c>
    </row>
    <row r="2466" spans="1:10" x14ac:dyDescent="0.25">
      <c r="A2466" t="s">
        <v>6</v>
      </c>
      <c r="B2466" t="s">
        <v>14</v>
      </c>
      <c r="C2466" t="s">
        <v>1238</v>
      </c>
      <c r="D2466">
        <v>717210</v>
      </c>
      <c r="E2466" t="s">
        <v>10</v>
      </c>
      <c r="F2466">
        <v>46.273609999999998</v>
      </c>
      <c r="G2466">
        <v>-75.987780000000001</v>
      </c>
      <c r="H2466">
        <v>-5</v>
      </c>
      <c r="I2466">
        <v>199.7</v>
      </c>
      <c r="J2466" t="str">
        <f>HYPERLINK("https://climate.onebuilding.org/WMO_Region_4_North_and_Central_America/CAN_Canada/QC_Quebec/CAN_QC_Maniwaki.AP.717210_TMYx.zip")</f>
        <v>https://climate.onebuilding.org/WMO_Region_4_North_and_Central_America/CAN_Canada/QC_Quebec/CAN_QC_Maniwaki.AP.717210_TMYx.zip</v>
      </c>
    </row>
    <row r="2467" spans="1:10" x14ac:dyDescent="0.25">
      <c r="A2467" t="s">
        <v>6</v>
      </c>
      <c r="B2467" t="s">
        <v>14</v>
      </c>
      <c r="C2467" t="s">
        <v>1240</v>
      </c>
      <c r="D2467">
        <v>717230</v>
      </c>
      <c r="E2467" t="s">
        <v>1241</v>
      </c>
      <c r="F2467">
        <v>46.2258</v>
      </c>
      <c r="G2467">
        <v>-72.657200000000003</v>
      </c>
      <c r="H2467">
        <v>-5</v>
      </c>
      <c r="I2467">
        <v>8</v>
      </c>
      <c r="J2467" t="str">
        <f>HYPERLINK("https://climate.onebuilding.org/WMO_Region_4_North_and_Central_America/CAN_Canada/QC_Quebec/CAN_QC_Nicolet.717230_TMYx.2004-2018.zip")</f>
        <v>https://climate.onebuilding.org/WMO_Region_4_North_and_Central_America/CAN_Canada/QC_Quebec/CAN_QC_Nicolet.717230_TMYx.2004-2018.zip</v>
      </c>
    </row>
    <row r="2468" spans="1:10" x14ac:dyDescent="0.25">
      <c r="A2468" t="s">
        <v>6</v>
      </c>
      <c r="B2468" t="s">
        <v>14</v>
      </c>
      <c r="C2468" t="s">
        <v>1240</v>
      </c>
      <c r="D2468">
        <v>717230</v>
      </c>
      <c r="E2468" t="s">
        <v>10</v>
      </c>
      <c r="F2468">
        <v>46.2258</v>
      </c>
      <c r="G2468">
        <v>-72.657200000000003</v>
      </c>
      <c r="H2468">
        <v>-5</v>
      </c>
      <c r="I2468">
        <v>8</v>
      </c>
      <c r="J2468" t="str">
        <f>HYPERLINK("https://climate.onebuilding.org/WMO_Region_4_North_and_Central_America/CAN_Canada/QC_Quebec/CAN_QC_Nicolet.717230_TMYx.2007-2021.zip")</f>
        <v>https://climate.onebuilding.org/WMO_Region_4_North_and_Central_America/CAN_Canada/QC_Quebec/CAN_QC_Nicolet.717230_TMYx.2007-2021.zip</v>
      </c>
    </row>
    <row r="2469" spans="1:10" x14ac:dyDescent="0.25">
      <c r="A2469" t="s">
        <v>6</v>
      </c>
      <c r="B2469" t="s">
        <v>14</v>
      </c>
      <c r="C2469" t="s">
        <v>1240</v>
      </c>
      <c r="D2469">
        <v>717230</v>
      </c>
      <c r="E2469" t="s">
        <v>10</v>
      </c>
      <c r="F2469">
        <v>46.2258</v>
      </c>
      <c r="G2469">
        <v>-72.657200000000003</v>
      </c>
      <c r="H2469">
        <v>-5</v>
      </c>
      <c r="I2469">
        <v>8</v>
      </c>
      <c r="J2469" t="str">
        <f>HYPERLINK("https://climate.onebuilding.org/WMO_Region_4_North_and_Central_America/CAN_Canada/QC_Quebec/CAN_QC_Nicolet.717230_TMYx.2009-2023.zip")</f>
        <v>https://climate.onebuilding.org/WMO_Region_4_North_and_Central_America/CAN_Canada/QC_Quebec/CAN_QC_Nicolet.717230_TMYx.2009-2023.zip</v>
      </c>
    </row>
    <row r="2470" spans="1:10" x14ac:dyDescent="0.25">
      <c r="A2470" t="s">
        <v>6</v>
      </c>
      <c r="B2470" t="s">
        <v>14</v>
      </c>
      <c r="C2470" t="s">
        <v>1240</v>
      </c>
      <c r="D2470">
        <v>717230</v>
      </c>
      <c r="E2470" t="s">
        <v>10</v>
      </c>
      <c r="F2470">
        <v>46.2258</v>
      </c>
      <c r="G2470">
        <v>-72.657200000000003</v>
      </c>
      <c r="H2470">
        <v>-5</v>
      </c>
      <c r="I2470">
        <v>8</v>
      </c>
      <c r="J2470" t="str">
        <f>HYPERLINK("https://climate.onebuilding.org/WMO_Region_4_North_and_Central_America/CAN_Canada/QC_Quebec/CAN_QC_Nicolet.717230_TMYx.zip")</f>
        <v>https://climate.onebuilding.org/WMO_Region_4_North_and_Central_America/CAN_Canada/QC_Quebec/CAN_QC_Nicolet.717230_TMYx.zip</v>
      </c>
    </row>
    <row r="2471" spans="1:10" x14ac:dyDescent="0.25">
      <c r="A2471" t="s">
        <v>6</v>
      </c>
      <c r="B2471" t="s">
        <v>14</v>
      </c>
      <c r="C2471" t="s">
        <v>1242</v>
      </c>
      <c r="D2471">
        <v>717240</v>
      </c>
      <c r="E2471" t="s">
        <v>1243</v>
      </c>
      <c r="F2471">
        <v>46.35</v>
      </c>
      <c r="G2471">
        <v>-72.5</v>
      </c>
      <c r="H2471">
        <v>-5</v>
      </c>
      <c r="I2471">
        <v>6</v>
      </c>
      <c r="J2471" t="str">
        <f>HYPERLINK("https://climate.onebuilding.org/WMO_Region_4_North_and_Central_America/CAN_Canada/QC_Quebec/CAN_QC_Trois.Rivieres.717240_TMYx.2004-2018.zip")</f>
        <v>https://climate.onebuilding.org/WMO_Region_4_North_and_Central_America/CAN_Canada/QC_Quebec/CAN_QC_Trois.Rivieres.717240_TMYx.2004-2018.zip</v>
      </c>
    </row>
    <row r="2472" spans="1:10" x14ac:dyDescent="0.25">
      <c r="A2472" t="s">
        <v>6</v>
      </c>
      <c r="B2472" t="s">
        <v>14</v>
      </c>
      <c r="C2472" t="s">
        <v>1242</v>
      </c>
      <c r="D2472">
        <v>717240</v>
      </c>
      <c r="E2472" t="s">
        <v>10</v>
      </c>
      <c r="F2472">
        <v>46.353700000000003</v>
      </c>
      <c r="G2472">
        <v>-72.515500000000003</v>
      </c>
      <c r="H2472">
        <v>-5</v>
      </c>
      <c r="I2472">
        <v>6</v>
      </c>
      <c r="J2472" t="str">
        <f>HYPERLINK("https://climate.onebuilding.org/WMO_Region_4_North_and_Central_America/CAN_Canada/QC_Quebec/CAN_QC_Trois.Rivieres.717240_TMYx.2007-2021.zip")</f>
        <v>https://climate.onebuilding.org/WMO_Region_4_North_and_Central_America/CAN_Canada/QC_Quebec/CAN_QC_Trois.Rivieres.717240_TMYx.2007-2021.zip</v>
      </c>
    </row>
    <row r="2473" spans="1:10" x14ac:dyDescent="0.25">
      <c r="A2473" t="s">
        <v>6</v>
      </c>
      <c r="B2473" t="s">
        <v>14</v>
      </c>
      <c r="C2473" t="s">
        <v>1242</v>
      </c>
      <c r="D2473">
        <v>717240</v>
      </c>
      <c r="E2473" t="s">
        <v>10</v>
      </c>
      <c r="F2473">
        <v>46.353700000000003</v>
      </c>
      <c r="G2473">
        <v>-72.515500000000003</v>
      </c>
      <c r="H2473">
        <v>-5</v>
      </c>
      <c r="I2473">
        <v>6</v>
      </c>
      <c r="J2473" t="str">
        <f>HYPERLINK("https://climate.onebuilding.org/WMO_Region_4_North_and_Central_America/CAN_Canada/QC_Quebec/CAN_QC_Trois.Rivieres.717240_TMYx.2009-2023.zip")</f>
        <v>https://climate.onebuilding.org/WMO_Region_4_North_and_Central_America/CAN_Canada/QC_Quebec/CAN_QC_Trois.Rivieres.717240_TMYx.2009-2023.zip</v>
      </c>
    </row>
    <row r="2474" spans="1:10" x14ac:dyDescent="0.25">
      <c r="A2474" t="s">
        <v>6</v>
      </c>
      <c r="B2474" t="s">
        <v>14</v>
      </c>
      <c r="C2474" t="s">
        <v>1242</v>
      </c>
      <c r="D2474">
        <v>717240</v>
      </c>
      <c r="E2474" t="s">
        <v>10</v>
      </c>
      <c r="F2474">
        <v>46.353700000000003</v>
      </c>
      <c r="G2474">
        <v>-72.515500000000003</v>
      </c>
      <c r="H2474">
        <v>-5</v>
      </c>
      <c r="I2474">
        <v>6</v>
      </c>
      <c r="J2474" t="str">
        <f>HYPERLINK("https://climate.onebuilding.org/WMO_Region_4_North_and_Central_America/CAN_Canada/QC_Quebec/CAN_QC_Trois.Rivieres.717240_TMYx.zip")</f>
        <v>https://climate.onebuilding.org/WMO_Region_4_North_and_Central_America/CAN_Canada/QC_Quebec/CAN_QC_Trois.Rivieres.717240_TMYx.zip</v>
      </c>
    </row>
    <row r="2475" spans="1:10" x14ac:dyDescent="0.25">
      <c r="A2475" t="s">
        <v>6</v>
      </c>
      <c r="B2475" t="s">
        <v>14</v>
      </c>
      <c r="C2475" t="s">
        <v>1244</v>
      </c>
      <c r="D2475">
        <v>717250</v>
      </c>
      <c r="E2475" t="s">
        <v>1245</v>
      </c>
      <c r="F2475">
        <v>48.056399999999996</v>
      </c>
      <c r="G2475">
        <v>-77.786699999999996</v>
      </c>
      <c r="H2475">
        <v>-5</v>
      </c>
      <c r="I2475">
        <v>337.4</v>
      </c>
      <c r="J2475" t="str">
        <f>HYPERLINK("https://climate.onebuilding.org/WMO_Region_4_North_and_Central_America/CAN_Canada/QC_Quebec/CAN_QC_Val-d-Or.Rgnl.AP.717250_TMYx.2004-2018.zip")</f>
        <v>https://climate.onebuilding.org/WMO_Region_4_North_and_Central_America/CAN_Canada/QC_Quebec/CAN_QC_Val-d-Or.Rgnl.AP.717250_TMYx.2004-2018.zip</v>
      </c>
    </row>
    <row r="2476" spans="1:10" x14ac:dyDescent="0.25">
      <c r="A2476" t="s">
        <v>6</v>
      </c>
      <c r="B2476" t="s">
        <v>14</v>
      </c>
      <c r="C2476" t="s">
        <v>1244</v>
      </c>
      <c r="D2476">
        <v>717250</v>
      </c>
      <c r="E2476" t="s">
        <v>10</v>
      </c>
      <c r="F2476">
        <v>48.056399999999996</v>
      </c>
      <c r="G2476">
        <v>-77.786699999999996</v>
      </c>
      <c r="H2476">
        <v>-5</v>
      </c>
      <c r="I2476">
        <v>337.4</v>
      </c>
      <c r="J2476" t="str">
        <f>HYPERLINK("https://climate.onebuilding.org/WMO_Region_4_North_and_Central_America/CAN_Canada/QC_Quebec/CAN_QC_Val-d-Or.Rgnl.AP.717250_TMYx.2007-2021.zip")</f>
        <v>https://climate.onebuilding.org/WMO_Region_4_North_and_Central_America/CAN_Canada/QC_Quebec/CAN_QC_Val-d-Or.Rgnl.AP.717250_TMYx.2007-2021.zip</v>
      </c>
    </row>
    <row r="2477" spans="1:10" x14ac:dyDescent="0.25">
      <c r="A2477" t="s">
        <v>6</v>
      </c>
      <c r="B2477" t="s">
        <v>14</v>
      </c>
      <c r="C2477" t="s">
        <v>1244</v>
      </c>
      <c r="D2477">
        <v>717250</v>
      </c>
      <c r="E2477" t="s">
        <v>10</v>
      </c>
      <c r="F2477">
        <v>48.056399999999996</v>
      </c>
      <c r="G2477">
        <v>-77.786699999999996</v>
      </c>
      <c r="H2477">
        <v>-5</v>
      </c>
      <c r="I2477">
        <v>337.4</v>
      </c>
      <c r="J2477" t="str">
        <f>HYPERLINK("https://climate.onebuilding.org/WMO_Region_4_North_and_Central_America/CAN_Canada/QC_Quebec/CAN_QC_Val-d-Or.Rgnl.AP.717250_TMYx.2009-2023.zip")</f>
        <v>https://climate.onebuilding.org/WMO_Region_4_North_and_Central_America/CAN_Canada/QC_Quebec/CAN_QC_Val-d-Or.Rgnl.AP.717250_TMYx.2009-2023.zip</v>
      </c>
    </row>
    <row r="2478" spans="1:10" x14ac:dyDescent="0.25">
      <c r="A2478" t="s">
        <v>6</v>
      </c>
      <c r="B2478" t="s">
        <v>14</v>
      </c>
      <c r="C2478" t="s">
        <v>1244</v>
      </c>
      <c r="D2478">
        <v>717250</v>
      </c>
      <c r="E2478" t="s">
        <v>10</v>
      </c>
      <c r="F2478">
        <v>48.056399999999996</v>
      </c>
      <c r="G2478">
        <v>-77.786699999999996</v>
      </c>
      <c r="H2478">
        <v>-5</v>
      </c>
      <c r="I2478">
        <v>337.4</v>
      </c>
      <c r="J2478" t="str">
        <f>HYPERLINK("https://climate.onebuilding.org/WMO_Region_4_North_and_Central_America/CAN_Canada/QC_Quebec/CAN_QC_Val-d-Or.Rgnl.AP.717250_TMYx.zip")</f>
        <v>https://climate.onebuilding.org/WMO_Region_4_North_and_Central_America/CAN_Canada/QC_Quebec/CAN_QC_Val-d-Or.Rgnl.AP.717250_TMYx.zip</v>
      </c>
    </row>
    <row r="2479" spans="1:10" x14ac:dyDescent="0.25">
      <c r="A2479" t="s">
        <v>6</v>
      </c>
      <c r="B2479" t="s">
        <v>14</v>
      </c>
      <c r="C2479" t="s">
        <v>1246</v>
      </c>
      <c r="D2479">
        <v>717255</v>
      </c>
      <c r="E2479" t="s">
        <v>1247</v>
      </c>
      <c r="F2479">
        <v>48.206000000000003</v>
      </c>
      <c r="G2479">
        <v>-78.835999999999999</v>
      </c>
      <c r="H2479">
        <v>-5</v>
      </c>
      <c r="I2479">
        <v>301.10000000000002</v>
      </c>
      <c r="J2479" t="str">
        <f>HYPERLINK("https://climate.onebuilding.org/WMO_Region_4_North_and_Central_America/CAN_Canada/QC_Quebec/CAN_QC_Rouyn-Noranda.AP.717255_TMYx.2004-2018.zip")</f>
        <v>https://climate.onebuilding.org/WMO_Region_4_North_and_Central_America/CAN_Canada/QC_Quebec/CAN_QC_Rouyn-Noranda.AP.717255_TMYx.2004-2018.zip</v>
      </c>
    </row>
    <row r="2480" spans="1:10" x14ac:dyDescent="0.25">
      <c r="A2480" t="s">
        <v>6</v>
      </c>
      <c r="B2480" t="s">
        <v>14</v>
      </c>
      <c r="C2480" t="s">
        <v>1246</v>
      </c>
      <c r="D2480">
        <v>717255</v>
      </c>
      <c r="E2480" t="s">
        <v>10</v>
      </c>
      <c r="F2480">
        <v>48.206000000000003</v>
      </c>
      <c r="G2480">
        <v>-78.835999999999999</v>
      </c>
      <c r="H2480">
        <v>-5</v>
      </c>
      <c r="I2480">
        <v>301.10000000000002</v>
      </c>
      <c r="J2480" t="str">
        <f>HYPERLINK("https://climate.onebuilding.org/WMO_Region_4_North_and_Central_America/CAN_Canada/QC_Quebec/CAN_QC_Rouyn-Noranda.AP.717255_TMYx.2007-2021.zip")</f>
        <v>https://climate.onebuilding.org/WMO_Region_4_North_and_Central_America/CAN_Canada/QC_Quebec/CAN_QC_Rouyn-Noranda.AP.717255_TMYx.2007-2021.zip</v>
      </c>
    </row>
    <row r="2481" spans="1:10" x14ac:dyDescent="0.25">
      <c r="A2481" t="s">
        <v>6</v>
      </c>
      <c r="B2481" t="s">
        <v>14</v>
      </c>
      <c r="C2481" t="s">
        <v>1246</v>
      </c>
      <c r="D2481">
        <v>717255</v>
      </c>
      <c r="E2481" t="s">
        <v>10</v>
      </c>
      <c r="F2481">
        <v>48.206000000000003</v>
      </c>
      <c r="G2481">
        <v>-78.835999999999999</v>
      </c>
      <c r="H2481">
        <v>-5</v>
      </c>
      <c r="I2481">
        <v>301.10000000000002</v>
      </c>
      <c r="J2481" t="str">
        <f>HYPERLINK("https://climate.onebuilding.org/WMO_Region_4_North_and_Central_America/CAN_Canada/QC_Quebec/CAN_QC_Rouyn-Noranda.AP.717255_TMYx.2009-2023.zip")</f>
        <v>https://climate.onebuilding.org/WMO_Region_4_North_and_Central_America/CAN_Canada/QC_Quebec/CAN_QC_Rouyn-Noranda.AP.717255_TMYx.2009-2023.zip</v>
      </c>
    </row>
    <row r="2482" spans="1:10" x14ac:dyDescent="0.25">
      <c r="A2482" t="s">
        <v>6</v>
      </c>
      <c r="B2482" t="s">
        <v>14</v>
      </c>
      <c r="C2482" t="s">
        <v>1246</v>
      </c>
      <c r="D2482">
        <v>717255</v>
      </c>
      <c r="E2482" t="s">
        <v>10</v>
      </c>
      <c r="F2482">
        <v>48.206000000000003</v>
      </c>
      <c r="G2482">
        <v>-78.835999999999999</v>
      </c>
      <c r="H2482">
        <v>-5</v>
      </c>
      <c r="I2482">
        <v>301.10000000000002</v>
      </c>
      <c r="J2482" t="str">
        <f>HYPERLINK("https://climate.onebuilding.org/WMO_Region_4_North_and_Central_America/CAN_Canada/QC_Quebec/CAN_QC_Rouyn-Noranda.AP.717255_TMYx.zip")</f>
        <v>https://climate.onebuilding.org/WMO_Region_4_North_and_Central_America/CAN_Canada/QC_Quebec/CAN_QC_Rouyn-Noranda.AP.717255_TMYx.zip</v>
      </c>
    </row>
    <row r="2483" spans="1:10" x14ac:dyDescent="0.25">
      <c r="A2483" t="s">
        <v>6</v>
      </c>
      <c r="B2483" t="s">
        <v>14</v>
      </c>
      <c r="C2483" t="s">
        <v>1248</v>
      </c>
      <c r="D2483">
        <v>717260</v>
      </c>
      <c r="E2483" t="s">
        <v>1249</v>
      </c>
      <c r="F2483">
        <v>47.922199999999997</v>
      </c>
      <c r="G2483">
        <v>-74.624200000000002</v>
      </c>
      <c r="H2483">
        <v>-5</v>
      </c>
      <c r="I2483">
        <v>444.7</v>
      </c>
      <c r="J2483" t="str">
        <f>HYPERLINK("https://climate.onebuilding.org/WMO_Region_4_North_and_Central_America/CAN_Canada/QC_Quebec/CAN_QC_Parent.717260_TMYx.2004-2018.zip")</f>
        <v>https://climate.onebuilding.org/WMO_Region_4_North_and_Central_America/CAN_Canada/QC_Quebec/CAN_QC_Parent.717260_TMYx.2004-2018.zip</v>
      </c>
    </row>
    <row r="2484" spans="1:10" x14ac:dyDescent="0.25">
      <c r="A2484" t="s">
        <v>6</v>
      </c>
      <c r="B2484" t="s">
        <v>14</v>
      </c>
      <c r="C2484" t="s">
        <v>1248</v>
      </c>
      <c r="D2484">
        <v>717260</v>
      </c>
      <c r="E2484" t="s">
        <v>10</v>
      </c>
      <c r="F2484">
        <v>47.922199999999997</v>
      </c>
      <c r="G2484">
        <v>-74.624200000000002</v>
      </c>
      <c r="H2484">
        <v>-5</v>
      </c>
      <c r="I2484">
        <v>444.7</v>
      </c>
      <c r="J2484" t="str">
        <f>HYPERLINK("https://climate.onebuilding.org/WMO_Region_4_North_and_Central_America/CAN_Canada/QC_Quebec/CAN_QC_Parent.717260_TMYx.2007-2021.zip")</f>
        <v>https://climate.onebuilding.org/WMO_Region_4_North_and_Central_America/CAN_Canada/QC_Quebec/CAN_QC_Parent.717260_TMYx.2007-2021.zip</v>
      </c>
    </row>
    <row r="2485" spans="1:10" x14ac:dyDescent="0.25">
      <c r="A2485" t="s">
        <v>6</v>
      </c>
      <c r="B2485" t="s">
        <v>14</v>
      </c>
      <c r="C2485" t="s">
        <v>1248</v>
      </c>
      <c r="D2485">
        <v>717260</v>
      </c>
      <c r="E2485" t="s">
        <v>10</v>
      </c>
      <c r="F2485">
        <v>47.922199999999997</v>
      </c>
      <c r="G2485">
        <v>-74.624200000000002</v>
      </c>
      <c r="H2485">
        <v>-5</v>
      </c>
      <c r="I2485">
        <v>444.7</v>
      </c>
      <c r="J2485" t="str">
        <f>HYPERLINK("https://climate.onebuilding.org/WMO_Region_4_North_and_Central_America/CAN_Canada/QC_Quebec/CAN_QC_Parent.717260_TMYx.2009-2023.zip")</f>
        <v>https://climate.onebuilding.org/WMO_Region_4_North_and_Central_America/CAN_Canada/QC_Quebec/CAN_QC_Parent.717260_TMYx.2009-2023.zip</v>
      </c>
    </row>
    <row r="2486" spans="1:10" x14ac:dyDescent="0.25">
      <c r="A2486" t="s">
        <v>6</v>
      </c>
      <c r="B2486" t="s">
        <v>14</v>
      </c>
      <c r="C2486" t="s">
        <v>1248</v>
      </c>
      <c r="D2486">
        <v>717260</v>
      </c>
      <c r="E2486" t="s">
        <v>10</v>
      </c>
      <c r="F2486">
        <v>47.922199999999997</v>
      </c>
      <c r="G2486">
        <v>-74.624200000000002</v>
      </c>
      <c r="H2486">
        <v>-5</v>
      </c>
      <c r="I2486">
        <v>444.7</v>
      </c>
      <c r="J2486" t="str">
        <f>HYPERLINK("https://climate.onebuilding.org/WMO_Region_4_North_and_Central_America/CAN_Canada/QC_Quebec/CAN_QC_Parent.717260_TMYx.zip")</f>
        <v>https://climate.onebuilding.org/WMO_Region_4_North_and_Central_America/CAN_Canada/QC_Quebec/CAN_QC_Parent.717260_TMYx.zip</v>
      </c>
    </row>
    <row r="2487" spans="1:10" x14ac:dyDescent="0.25">
      <c r="A2487" t="s">
        <v>6</v>
      </c>
      <c r="B2487" t="s">
        <v>14</v>
      </c>
      <c r="C2487" t="s">
        <v>1250</v>
      </c>
      <c r="D2487">
        <v>717270</v>
      </c>
      <c r="E2487" t="s">
        <v>1251</v>
      </c>
      <c r="F2487">
        <v>48.333300000000001</v>
      </c>
      <c r="G2487">
        <v>-71</v>
      </c>
      <c r="H2487">
        <v>-5</v>
      </c>
      <c r="I2487">
        <v>159.1</v>
      </c>
      <c r="J2487" t="str">
        <f>HYPERLINK("https://climate.onebuilding.org/WMO_Region_4_North_and_Central_America/CAN_Canada/QC_Quebec/CAN_QC_Saguenay-Bagotville.AP-CFB.Bagotville.717270_TMYx.2004-2018.zip")</f>
        <v>https://climate.onebuilding.org/WMO_Region_4_North_and_Central_America/CAN_Canada/QC_Quebec/CAN_QC_Saguenay-Bagotville.AP-CFB.Bagotville.717270_TMYx.2004-2018.zip</v>
      </c>
    </row>
    <row r="2488" spans="1:10" x14ac:dyDescent="0.25">
      <c r="A2488" t="s">
        <v>6</v>
      </c>
      <c r="B2488" t="s">
        <v>14</v>
      </c>
      <c r="C2488" t="s">
        <v>1250</v>
      </c>
      <c r="D2488">
        <v>717270</v>
      </c>
      <c r="E2488" t="s">
        <v>10</v>
      </c>
      <c r="F2488">
        <v>48.333300000000001</v>
      </c>
      <c r="G2488">
        <v>-71</v>
      </c>
      <c r="H2488">
        <v>-5</v>
      </c>
      <c r="I2488">
        <v>159.1</v>
      </c>
      <c r="J2488" t="str">
        <f>HYPERLINK("https://climate.onebuilding.org/WMO_Region_4_North_and_Central_America/CAN_Canada/QC_Quebec/CAN_QC_Saguenay-Bagotville.AP-CFB.Bagotville.717270_TMYx.2007-2021.zip")</f>
        <v>https://climate.onebuilding.org/WMO_Region_4_North_and_Central_America/CAN_Canada/QC_Quebec/CAN_QC_Saguenay-Bagotville.AP-CFB.Bagotville.717270_TMYx.2007-2021.zip</v>
      </c>
    </row>
    <row r="2489" spans="1:10" x14ac:dyDescent="0.25">
      <c r="A2489" t="s">
        <v>6</v>
      </c>
      <c r="B2489" t="s">
        <v>14</v>
      </c>
      <c r="C2489" t="s">
        <v>1250</v>
      </c>
      <c r="D2489">
        <v>717270</v>
      </c>
      <c r="E2489" t="s">
        <v>10</v>
      </c>
      <c r="F2489">
        <v>48.333300000000001</v>
      </c>
      <c r="G2489">
        <v>-71</v>
      </c>
      <c r="H2489">
        <v>-5</v>
      </c>
      <c r="I2489">
        <v>159.1</v>
      </c>
      <c r="J2489" t="str">
        <f>HYPERLINK("https://climate.onebuilding.org/WMO_Region_4_North_and_Central_America/CAN_Canada/QC_Quebec/CAN_QC_Saguenay-Bagotville.AP-CFB.Bagotville.717270_TMYx.2009-2023.zip")</f>
        <v>https://climate.onebuilding.org/WMO_Region_4_North_and_Central_America/CAN_Canada/QC_Quebec/CAN_QC_Saguenay-Bagotville.AP-CFB.Bagotville.717270_TMYx.2009-2023.zip</v>
      </c>
    </row>
    <row r="2490" spans="1:10" x14ac:dyDescent="0.25">
      <c r="A2490" t="s">
        <v>6</v>
      </c>
      <c r="B2490" t="s">
        <v>14</v>
      </c>
      <c r="C2490" t="s">
        <v>1250</v>
      </c>
      <c r="D2490">
        <v>717270</v>
      </c>
      <c r="E2490" t="s">
        <v>10</v>
      </c>
      <c r="F2490">
        <v>48.333300000000001</v>
      </c>
      <c r="G2490">
        <v>-71</v>
      </c>
      <c r="H2490">
        <v>-5</v>
      </c>
      <c r="I2490">
        <v>159.1</v>
      </c>
      <c r="J2490" t="str">
        <f>HYPERLINK("https://climate.onebuilding.org/WMO_Region_4_North_and_Central_America/CAN_Canada/QC_Quebec/CAN_QC_Saguenay-Bagotville.AP-CFB.Bagotville.717270_TMYx.zip")</f>
        <v>https://climate.onebuilding.org/WMO_Region_4_North_and_Central_America/CAN_Canada/QC_Quebec/CAN_QC_Saguenay-Bagotville.AP-CFB.Bagotville.717270_TMYx.zip</v>
      </c>
    </row>
    <row r="2491" spans="1:10" x14ac:dyDescent="0.25">
      <c r="A2491" t="s">
        <v>6</v>
      </c>
      <c r="B2491" t="s">
        <v>14</v>
      </c>
      <c r="C2491" t="s">
        <v>1252</v>
      </c>
      <c r="D2491">
        <v>717280</v>
      </c>
      <c r="E2491" t="s">
        <v>1253</v>
      </c>
      <c r="F2491">
        <v>48.5167</v>
      </c>
      <c r="G2491">
        <v>-72.2667</v>
      </c>
      <c r="H2491">
        <v>-5</v>
      </c>
      <c r="I2491">
        <v>178.6</v>
      </c>
      <c r="J2491" t="str">
        <f>HYPERLINK("https://climate.onebuilding.org/WMO_Region_4_North_and_Central_America/CAN_Canada/QC_Quebec/CAN_QC_Roberval.AP.717280_TMYx.2004-2018.zip")</f>
        <v>https://climate.onebuilding.org/WMO_Region_4_North_and_Central_America/CAN_Canada/QC_Quebec/CAN_QC_Roberval.AP.717280_TMYx.2004-2018.zip</v>
      </c>
    </row>
    <row r="2492" spans="1:10" x14ac:dyDescent="0.25">
      <c r="A2492" t="s">
        <v>6</v>
      </c>
      <c r="B2492" t="s">
        <v>14</v>
      </c>
      <c r="C2492" t="s">
        <v>1252</v>
      </c>
      <c r="D2492">
        <v>717280</v>
      </c>
      <c r="E2492" t="s">
        <v>10</v>
      </c>
      <c r="F2492">
        <v>48.523000000000003</v>
      </c>
      <c r="G2492">
        <v>-72.266199999999998</v>
      </c>
      <c r="H2492">
        <v>-5</v>
      </c>
      <c r="I2492">
        <v>178.6</v>
      </c>
      <c r="J2492" t="str">
        <f>HYPERLINK("https://climate.onebuilding.org/WMO_Region_4_North_and_Central_America/CAN_Canada/QC_Quebec/CAN_QC_Roberval.AP.717280_TMYx.2007-2021.zip")</f>
        <v>https://climate.onebuilding.org/WMO_Region_4_North_and_Central_America/CAN_Canada/QC_Quebec/CAN_QC_Roberval.AP.717280_TMYx.2007-2021.zip</v>
      </c>
    </row>
    <row r="2493" spans="1:10" x14ac:dyDescent="0.25">
      <c r="A2493" t="s">
        <v>6</v>
      </c>
      <c r="B2493" t="s">
        <v>14</v>
      </c>
      <c r="C2493" t="s">
        <v>1252</v>
      </c>
      <c r="D2493">
        <v>717280</v>
      </c>
      <c r="E2493" t="s">
        <v>10</v>
      </c>
      <c r="F2493">
        <v>48.523000000000003</v>
      </c>
      <c r="G2493">
        <v>-72.266199999999998</v>
      </c>
      <c r="H2493">
        <v>-5</v>
      </c>
      <c r="I2493">
        <v>178.6</v>
      </c>
      <c r="J2493" t="str">
        <f>HYPERLINK("https://climate.onebuilding.org/WMO_Region_4_North_and_Central_America/CAN_Canada/QC_Quebec/CAN_QC_Roberval.AP.717280_TMYx.2009-2023.zip")</f>
        <v>https://climate.onebuilding.org/WMO_Region_4_North_and_Central_America/CAN_Canada/QC_Quebec/CAN_QC_Roberval.AP.717280_TMYx.2009-2023.zip</v>
      </c>
    </row>
    <row r="2494" spans="1:10" x14ac:dyDescent="0.25">
      <c r="A2494" t="s">
        <v>6</v>
      </c>
      <c r="B2494" t="s">
        <v>14</v>
      </c>
      <c r="C2494" t="s">
        <v>1252</v>
      </c>
      <c r="D2494">
        <v>717280</v>
      </c>
      <c r="E2494" t="s">
        <v>10</v>
      </c>
      <c r="F2494">
        <v>48.523000000000003</v>
      </c>
      <c r="G2494">
        <v>-72.266199999999998</v>
      </c>
      <c r="H2494">
        <v>-5</v>
      </c>
      <c r="I2494">
        <v>178.6</v>
      </c>
      <c r="J2494" t="str">
        <f>HYPERLINK("https://climate.onebuilding.org/WMO_Region_4_North_and_Central_America/CAN_Canada/QC_Quebec/CAN_QC_Roberval.AP.717280_TMYx.zip")</f>
        <v>https://climate.onebuilding.org/WMO_Region_4_North_and_Central_America/CAN_Canada/QC_Quebec/CAN_QC_Roberval.AP.717280_TMYx.zip</v>
      </c>
    </row>
    <row r="2495" spans="1:10" x14ac:dyDescent="0.25">
      <c r="A2495" t="s">
        <v>6</v>
      </c>
      <c r="B2495" t="s">
        <v>130</v>
      </c>
      <c r="C2495" t="s">
        <v>1254</v>
      </c>
      <c r="D2495">
        <v>717300</v>
      </c>
      <c r="E2495" t="s">
        <v>1255</v>
      </c>
      <c r="F2495">
        <v>46.625599999999999</v>
      </c>
      <c r="G2495">
        <v>-80.797799999999995</v>
      </c>
      <c r="H2495">
        <v>-5</v>
      </c>
      <c r="I2495">
        <v>348.4</v>
      </c>
      <c r="J2495" t="str">
        <f>HYPERLINK("https://climate.onebuilding.org/WMO_Region_4_North_and_Central_America/CAN_Canada/ON_Ontario/CAN_ON_Sudbury.AP.717300_TMYx.2004-2018.zip")</f>
        <v>https://climate.onebuilding.org/WMO_Region_4_North_and_Central_America/CAN_Canada/ON_Ontario/CAN_ON_Sudbury.AP.717300_TMYx.2004-2018.zip</v>
      </c>
    </row>
    <row r="2496" spans="1:10" x14ac:dyDescent="0.25">
      <c r="A2496" t="s">
        <v>6</v>
      </c>
      <c r="B2496" t="s">
        <v>130</v>
      </c>
      <c r="C2496" t="s">
        <v>1254</v>
      </c>
      <c r="D2496">
        <v>717300</v>
      </c>
      <c r="E2496" t="s">
        <v>10</v>
      </c>
      <c r="F2496">
        <v>46.623699999999999</v>
      </c>
      <c r="G2496">
        <v>-80.793899999999994</v>
      </c>
      <c r="H2496">
        <v>-5</v>
      </c>
      <c r="I2496">
        <v>348.4</v>
      </c>
      <c r="J2496" t="str">
        <f>HYPERLINK("https://climate.onebuilding.org/WMO_Region_4_North_and_Central_America/CAN_Canada/ON_Ontario/CAN_ON_Sudbury.AP.717300_TMYx.2007-2021.zip")</f>
        <v>https://climate.onebuilding.org/WMO_Region_4_North_and_Central_America/CAN_Canada/ON_Ontario/CAN_ON_Sudbury.AP.717300_TMYx.2007-2021.zip</v>
      </c>
    </row>
    <row r="2497" spans="1:10" x14ac:dyDescent="0.25">
      <c r="A2497" t="s">
        <v>6</v>
      </c>
      <c r="B2497" t="s">
        <v>130</v>
      </c>
      <c r="C2497" t="s">
        <v>1254</v>
      </c>
      <c r="D2497">
        <v>717300</v>
      </c>
      <c r="E2497" t="s">
        <v>10</v>
      </c>
      <c r="F2497">
        <v>46.623699999999999</v>
      </c>
      <c r="G2497">
        <v>-80.793899999999994</v>
      </c>
      <c r="H2497">
        <v>-5</v>
      </c>
      <c r="I2497">
        <v>348.4</v>
      </c>
      <c r="J2497" t="str">
        <f>HYPERLINK("https://climate.onebuilding.org/WMO_Region_4_North_and_Central_America/CAN_Canada/ON_Ontario/CAN_ON_Sudbury.AP.717300_TMYx.2009-2023.zip")</f>
        <v>https://climate.onebuilding.org/WMO_Region_4_North_and_Central_America/CAN_Canada/ON_Ontario/CAN_ON_Sudbury.AP.717300_TMYx.2009-2023.zip</v>
      </c>
    </row>
    <row r="2498" spans="1:10" x14ac:dyDescent="0.25">
      <c r="A2498" t="s">
        <v>6</v>
      </c>
      <c r="B2498" t="s">
        <v>130</v>
      </c>
      <c r="C2498" t="s">
        <v>1254</v>
      </c>
      <c r="D2498">
        <v>717300</v>
      </c>
      <c r="E2498" t="s">
        <v>10</v>
      </c>
      <c r="F2498">
        <v>46.623699999999999</v>
      </c>
      <c r="G2498">
        <v>-80.793899999999994</v>
      </c>
      <c r="H2498">
        <v>-5</v>
      </c>
      <c r="I2498">
        <v>348.4</v>
      </c>
      <c r="J2498" t="str">
        <f>HYPERLINK("https://climate.onebuilding.org/WMO_Region_4_North_and_Central_America/CAN_Canada/ON_Ontario/CAN_ON_Sudbury.AP.717300_TMYx.zip")</f>
        <v>https://climate.onebuilding.org/WMO_Region_4_North_and_Central_America/CAN_Canada/ON_Ontario/CAN_ON_Sudbury.AP.717300_TMYx.zip</v>
      </c>
    </row>
    <row r="2499" spans="1:10" x14ac:dyDescent="0.25">
      <c r="A2499" t="s">
        <v>6</v>
      </c>
      <c r="B2499" t="s">
        <v>130</v>
      </c>
      <c r="C2499" t="s">
        <v>1256</v>
      </c>
      <c r="D2499">
        <v>717310</v>
      </c>
      <c r="E2499" t="s">
        <v>1257</v>
      </c>
      <c r="F2499">
        <v>46.363599999999998</v>
      </c>
      <c r="G2499">
        <v>-79.422799999999995</v>
      </c>
      <c r="H2499">
        <v>-6</v>
      </c>
      <c r="I2499">
        <v>370.3</v>
      </c>
      <c r="J2499" t="str">
        <f>HYPERLINK("https://climate.onebuilding.org/WMO_Region_4_North_and_Central_America/CAN_Canada/ON_Ontario/CAN_ON_North.Bay-Garland.AP.717310_TMYx.2004-2018.zip")</f>
        <v>https://climate.onebuilding.org/WMO_Region_4_North_and_Central_America/CAN_Canada/ON_Ontario/CAN_ON_North.Bay-Garland.AP.717310_TMYx.2004-2018.zip</v>
      </c>
    </row>
    <row r="2500" spans="1:10" x14ac:dyDescent="0.25">
      <c r="A2500" t="s">
        <v>6</v>
      </c>
      <c r="B2500" t="s">
        <v>130</v>
      </c>
      <c r="C2500" t="s">
        <v>1256</v>
      </c>
      <c r="D2500">
        <v>717310</v>
      </c>
      <c r="E2500" t="s">
        <v>10</v>
      </c>
      <c r="F2500">
        <v>46.365000000000002</v>
      </c>
      <c r="G2500">
        <v>-79.423000000000002</v>
      </c>
      <c r="H2500">
        <v>-5</v>
      </c>
      <c r="I2500">
        <v>370.3</v>
      </c>
      <c r="J2500" t="str">
        <f>HYPERLINK("https://climate.onebuilding.org/WMO_Region_4_North_and_Central_America/CAN_Canada/ON_Ontario/CAN_ON_North.Bay-Garland.AP.717310_TMYx.2007-2021.zip")</f>
        <v>https://climate.onebuilding.org/WMO_Region_4_North_and_Central_America/CAN_Canada/ON_Ontario/CAN_ON_North.Bay-Garland.AP.717310_TMYx.2007-2021.zip</v>
      </c>
    </row>
    <row r="2501" spans="1:10" x14ac:dyDescent="0.25">
      <c r="A2501" t="s">
        <v>6</v>
      </c>
      <c r="B2501" t="s">
        <v>130</v>
      </c>
      <c r="C2501" t="s">
        <v>1256</v>
      </c>
      <c r="D2501">
        <v>717310</v>
      </c>
      <c r="E2501" t="s">
        <v>10</v>
      </c>
      <c r="F2501">
        <v>46.365000000000002</v>
      </c>
      <c r="G2501">
        <v>-79.423000000000002</v>
      </c>
      <c r="H2501">
        <v>-5</v>
      </c>
      <c r="I2501">
        <v>370.3</v>
      </c>
      <c r="J2501" t="str">
        <f>HYPERLINK("https://climate.onebuilding.org/WMO_Region_4_North_and_Central_America/CAN_Canada/ON_Ontario/CAN_ON_North.Bay-Garland.AP.717310_TMYx.2009-2023.zip")</f>
        <v>https://climate.onebuilding.org/WMO_Region_4_North_and_Central_America/CAN_Canada/ON_Ontario/CAN_ON_North.Bay-Garland.AP.717310_TMYx.2009-2023.zip</v>
      </c>
    </row>
    <row r="2502" spans="1:10" x14ac:dyDescent="0.25">
      <c r="A2502" t="s">
        <v>6</v>
      </c>
      <c r="B2502" t="s">
        <v>130</v>
      </c>
      <c r="C2502" t="s">
        <v>1256</v>
      </c>
      <c r="D2502">
        <v>717310</v>
      </c>
      <c r="E2502" t="s">
        <v>10</v>
      </c>
      <c r="F2502">
        <v>46.365000000000002</v>
      </c>
      <c r="G2502">
        <v>-79.423000000000002</v>
      </c>
      <c r="H2502">
        <v>-5</v>
      </c>
      <c r="I2502">
        <v>370.3</v>
      </c>
      <c r="J2502" t="str">
        <f>HYPERLINK("https://climate.onebuilding.org/WMO_Region_4_North_and_Central_America/CAN_Canada/ON_Ontario/CAN_ON_North.Bay-Garland.AP.717310_TMYx.zip")</f>
        <v>https://climate.onebuilding.org/WMO_Region_4_North_and_Central_America/CAN_Canada/ON_Ontario/CAN_ON_North.Bay-Garland.AP.717310_TMYx.zip</v>
      </c>
    </row>
    <row r="2503" spans="1:10" x14ac:dyDescent="0.25">
      <c r="A2503" t="s">
        <v>6</v>
      </c>
      <c r="B2503" t="s">
        <v>14</v>
      </c>
      <c r="C2503" t="s">
        <v>1258</v>
      </c>
      <c r="D2503">
        <v>717320</v>
      </c>
      <c r="E2503" t="s">
        <v>1259</v>
      </c>
      <c r="F2503">
        <v>46.709699999999998</v>
      </c>
      <c r="G2503">
        <v>-79.101100000000002</v>
      </c>
      <c r="H2503">
        <v>-5</v>
      </c>
      <c r="I2503">
        <v>181.4</v>
      </c>
      <c r="J2503" t="str">
        <f>HYPERLINK("https://climate.onebuilding.org/WMO_Region_4_North_and_Central_America/CAN_Canada/QC_Quebec/CAN_QC_Barrage-Temiscamingue.717320_TMYx.2004-2018.zip")</f>
        <v>https://climate.onebuilding.org/WMO_Region_4_North_and_Central_America/CAN_Canada/QC_Quebec/CAN_QC_Barrage-Temiscamingue.717320_TMYx.2004-2018.zip</v>
      </c>
    </row>
    <row r="2504" spans="1:10" x14ac:dyDescent="0.25">
      <c r="A2504" t="s">
        <v>6</v>
      </c>
      <c r="B2504" t="s">
        <v>14</v>
      </c>
      <c r="C2504" t="s">
        <v>1258</v>
      </c>
      <c r="D2504">
        <v>717320</v>
      </c>
      <c r="E2504" t="s">
        <v>10</v>
      </c>
      <c r="F2504">
        <v>46.709699999999998</v>
      </c>
      <c r="G2504">
        <v>-79.101100000000002</v>
      </c>
      <c r="H2504">
        <v>-5</v>
      </c>
      <c r="I2504">
        <v>181.4</v>
      </c>
      <c r="J2504" t="str">
        <f>HYPERLINK("https://climate.onebuilding.org/WMO_Region_4_North_and_Central_America/CAN_Canada/QC_Quebec/CAN_QC_Barrage-Temiscamingue.717320_TMYx.2007-2021.zip")</f>
        <v>https://climate.onebuilding.org/WMO_Region_4_North_and_Central_America/CAN_Canada/QC_Quebec/CAN_QC_Barrage-Temiscamingue.717320_TMYx.2007-2021.zip</v>
      </c>
    </row>
    <row r="2505" spans="1:10" x14ac:dyDescent="0.25">
      <c r="A2505" t="s">
        <v>6</v>
      </c>
      <c r="B2505" t="s">
        <v>14</v>
      </c>
      <c r="C2505" t="s">
        <v>1258</v>
      </c>
      <c r="D2505">
        <v>717320</v>
      </c>
      <c r="E2505" t="s">
        <v>10</v>
      </c>
      <c r="F2505">
        <v>46.709699999999998</v>
      </c>
      <c r="G2505">
        <v>-79.101100000000002</v>
      </c>
      <c r="H2505">
        <v>-5</v>
      </c>
      <c r="I2505">
        <v>181.4</v>
      </c>
      <c r="J2505" t="str">
        <f>HYPERLINK("https://climate.onebuilding.org/WMO_Region_4_North_and_Central_America/CAN_Canada/QC_Quebec/CAN_QC_Barrage-Temiscamingue.717320_TMYx.2009-2023.zip")</f>
        <v>https://climate.onebuilding.org/WMO_Region_4_North_and_Central_America/CAN_Canada/QC_Quebec/CAN_QC_Barrage-Temiscamingue.717320_TMYx.2009-2023.zip</v>
      </c>
    </row>
    <row r="2506" spans="1:10" x14ac:dyDescent="0.25">
      <c r="A2506" t="s">
        <v>6</v>
      </c>
      <c r="B2506" t="s">
        <v>14</v>
      </c>
      <c r="C2506" t="s">
        <v>1258</v>
      </c>
      <c r="D2506">
        <v>717320</v>
      </c>
      <c r="E2506" t="s">
        <v>10</v>
      </c>
      <c r="F2506">
        <v>46.709699999999998</v>
      </c>
      <c r="G2506">
        <v>-79.101100000000002</v>
      </c>
      <c r="H2506">
        <v>-5</v>
      </c>
      <c r="I2506">
        <v>181.4</v>
      </c>
      <c r="J2506" t="str">
        <f>HYPERLINK("https://climate.onebuilding.org/WMO_Region_4_North_and_Central_America/CAN_Canada/QC_Quebec/CAN_QC_Barrage-Temiscamingue.717320_TMYx.zip")</f>
        <v>https://climate.onebuilding.org/WMO_Region_4_North_and_Central_America/CAN_Canada/QC_Quebec/CAN_QC_Barrage-Temiscamingue.717320_TMYx.zip</v>
      </c>
    </row>
    <row r="2507" spans="1:10" x14ac:dyDescent="0.25">
      <c r="A2507" t="s">
        <v>6</v>
      </c>
      <c r="B2507" t="s">
        <v>130</v>
      </c>
      <c r="C2507" t="s">
        <v>1260</v>
      </c>
      <c r="D2507">
        <v>717334</v>
      </c>
      <c r="E2507" t="s">
        <v>1261</v>
      </c>
      <c r="F2507">
        <v>46.350999999999999</v>
      </c>
      <c r="G2507">
        <v>-82.561000000000007</v>
      </c>
      <c r="H2507">
        <v>-6</v>
      </c>
      <c r="I2507">
        <v>331.3</v>
      </c>
      <c r="J2507" t="str">
        <f>HYPERLINK("https://climate.onebuilding.org/WMO_Region_4_North_and_Central_America/CAN_Canada/ON_Ontario/CAN_ON_Elliot.Lake.AP.717334_TMYx.2004-2018.zip")</f>
        <v>https://climate.onebuilding.org/WMO_Region_4_North_and_Central_America/CAN_Canada/ON_Ontario/CAN_ON_Elliot.Lake.AP.717334_TMYx.2004-2018.zip</v>
      </c>
    </row>
    <row r="2508" spans="1:10" x14ac:dyDescent="0.25">
      <c r="A2508" t="s">
        <v>6</v>
      </c>
      <c r="B2508" t="s">
        <v>130</v>
      </c>
      <c r="C2508" t="s">
        <v>1260</v>
      </c>
      <c r="D2508">
        <v>717334</v>
      </c>
      <c r="E2508" t="s">
        <v>10</v>
      </c>
      <c r="F2508">
        <v>46.350999999999999</v>
      </c>
      <c r="G2508">
        <v>-82.561000000000007</v>
      </c>
      <c r="H2508">
        <v>-6</v>
      </c>
      <c r="I2508">
        <v>331.3</v>
      </c>
      <c r="J2508" t="str">
        <f>HYPERLINK("https://climate.onebuilding.org/WMO_Region_4_North_and_Central_America/CAN_Canada/ON_Ontario/CAN_ON_Elliot.Lake.AP.717334_TMYx.2007-2021.zip")</f>
        <v>https://climate.onebuilding.org/WMO_Region_4_North_and_Central_America/CAN_Canada/ON_Ontario/CAN_ON_Elliot.Lake.AP.717334_TMYx.2007-2021.zip</v>
      </c>
    </row>
    <row r="2509" spans="1:10" x14ac:dyDescent="0.25">
      <c r="A2509" t="s">
        <v>6</v>
      </c>
      <c r="B2509" t="s">
        <v>130</v>
      </c>
      <c r="C2509" t="s">
        <v>1260</v>
      </c>
      <c r="D2509">
        <v>717334</v>
      </c>
      <c r="E2509" t="s">
        <v>10</v>
      </c>
      <c r="F2509">
        <v>46.350999999999999</v>
      </c>
      <c r="G2509">
        <v>-82.561000000000007</v>
      </c>
      <c r="H2509">
        <v>-6</v>
      </c>
      <c r="I2509">
        <v>331.3</v>
      </c>
      <c r="J2509" t="str">
        <f>HYPERLINK("https://climate.onebuilding.org/WMO_Region_4_North_and_Central_America/CAN_Canada/ON_Ontario/CAN_ON_Elliot.Lake.AP.717334_TMYx.zip")</f>
        <v>https://climate.onebuilding.org/WMO_Region_4_North_and_Central_America/CAN_Canada/ON_Ontario/CAN_ON_Elliot.Lake.AP.717334_TMYx.zip</v>
      </c>
    </row>
    <row r="2510" spans="1:10" x14ac:dyDescent="0.25">
      <c r="A2510" t="s">
        <v>6</v>
      </c>
      <c r="B2510" t="s">
        <v>14</v>
      </c>
      <c r="C2510" t="s">
        <v>1262</v>
      </c>
      <c r="D2510">
        <v>717340</v>
      </c>
      <c r="E2510" t="s">
        <v>1263</v>
      </c>
      <c r="F2510">
        <v>48.232999999999997</v>
      </c>
      <c r="G2510">
        <v>-79.033000000000001</v>
      </c>
      <c r="H2510">
        <v>-5</v>
      </c>
      <c r="I2510">
        <v>318</v>
      </c>
      <c r="J2510" t="str">
        <f>HYPERLINK("https://climate.onebuilding.org/WMO_Region_4_North_and_Central_America/CAN_Canada/QC_Quebec/CAN_QC_Rouyn-Noranda.717340_TMYx.2004-2018.zip")</f>
        <v>https://climate.onebuilding.org/WMO_Region_4_North_and_Central_America/CAN_Canada/QC_Quebec/CAN_QC_Rouyn-Noranda.717340_TMYx.2004-2018.zip</v>
      </c>
    </row>
    <row r="2511" spans="1:10" x14ac:dyDescent="0.25">
      <c r="A2511" t="s">
        <v>6</v>
      </c>
      <c r="B2511" t="s">
        <v>14</v>
      </c>
      <c r="C2511" t="s">
        <v>1262</v>
      </c>
      <c r="D2511">
        <v>717340</v>
      </c>
      <c r="E2511" t="s">
        <v>10</v>
      </c>
      <c r="F2511">
        <v>48.245829999999998</v>
      </c>
      <c r="G2511">
        <v>-79.03416</v>
      </c>
      <c r="H2511">
        <v>-5</v>
      </c>
      <c r="I2511">
        <v>318</v>
      </c>
      <c r="J2511" t="str">
        <f>HYPERLINK("https://climate.onebuilding.org/WMO_Region_4_North_and_Central_America/CAN_Canada/QC_Quebec/CAN_QC_Rouyn-Noranda.717340_TMYx.2007-2021.zip")</f>
        <v>https://climate.onebuilding.org/WMO_Region_4_North_and_Central_America/CAN_Canada/QC_Quebec/CAN_QC_Rouyn-Noranda.717340_TMYx.2007-2021.zip</v>
      </c>
    </row>
    <row r="2512" spans="1:10" x14ac:dyDescent="0.25">
      <c r="A2512" t="s">
        <v>6</v>
      </c>
      <c r="B2512" t="s">
        <v>14</v>
      </c>
      <c r="C2512" t="s">
        <v>1262</v>
      </c>
      <c r="D2512">
        <v>717340</v>
      </c>
      <c r="E2512" t="s">
        <v>10</v>
      </c>
      <c r="F2512">
        <v>48.245829999999998</v>
      </c>
      <c r="G2512">
        <v>-79.03416</v>
      </c>
      <c r="H2512">
        <v>-5</v>
      </c>
      <c r="I2512">
        <v>318</v>
      </c>
      <c r="J2512" t="str">
        <f>HYPERLINK("https://climate.onebuilding.org/WMO_Region_4_North_and_Central_America/CAN_Canada/QC_Quebec/CAN_QC_Rouyn-Noranda.717340_TMYx.2009-2023.zip")</f>
        <v>https://climate.onebuilding.org/WMO_Region_4_North_and_Central_America/CAN_Canada/QC_Quebec/CAN_QC_Rouyn-Noranda.717340_TMYx.2009-2023.zip</v>
      </c>
    </row>
    <row r="2513" spans="1:10" x14ac:dyDescent="0.25">
      <c r="A2513" t="s">
        <v>6</v>
      </c>
      <c r="B2513" t="s">
        <v>14</v>
      </c>
      <c r="C2513" t="s">
        <v>1262</v>
      </c>
      <c r="D2513">
        <v>717340</v>
      </c>
      <c r="E2513" t="s">
        <v>10</v>
      </c>
      <c r="F2513">
        <v>48.245829999999998</v>
      </c>
      <c r="G2513">
        <v>-79.03416</v>
      </c>
      <c r="H2513">
        <v>-5</v>
      </c>
      <c r="I2513">
        <v>318</v>
      </c>
      <c r="J2513" t="str">
        <f>HYPERLINK("https://climate.onebuilding.org/WMO_Region_4_North_and_Central_America/CAN_Canada/QC_Quebec/CAN_QC_Rouyn-Noranda.717340_TMYx.zip")</f>
        <v>https://climate.onebuilding.org/WMO_Region_4_North_and_Central_America/CAN_Canada/QC_Quebec/CAN_QC_Rouyn-Noranda.717340_TMYx.zip</v>
      </c>
    </row>
    <row r="2514" spans="1:10" x14ac:dyDescent="0.25">
      <c r="A2514" t="s">
        <v>6</v>
      </c>
      <c r="B2514" t="s">
        <v>17</v>
      </c>
      <c r="C2514" t="s">
        <v>1264</v>
      </c>
      <c r="D2514">
        <v>717360</v>
      </c>
      <c r="E2514" t="s">
        <v>10</v>
      </c>
      <c r="F2514">
        <v>49.521700000000003</v>
      </c>
      <c r="G2514">
        <v>-114.0047</v>
      </c>
      <c r="H2514">
        <v>-7</v>
      </c>
      <c r="I2514">
        <v>1190</v>
      </c>
      <c r="J2514" t="str">
        <f>HYPERLINK("https://climate.onebuilding.org/WMO_Region_4_North_and_Central_America/CAN_Canada/AB_Alberta/CAN_AB_Pincher.Creek.CS.717360_TMYx.2007-2021.zip")</f>
        <v>https://climate.onebuilding.org/WMO_Region_4_North_and_Central_America/CAN_Canada/AB_Alberta/CAN_AB_Pincher.Creek.CS.717360_TMYx.2007-2021.zip</v>
      </c>
    </row>
    <row r="2515" spans="1:10" x14ac:dyDescent="0.25">
      <c r="A2515" t="s">
        <v>6</v>
      </c>
      <c r="B2515" t="s">
        <v>17</v>
      </c>
      <c r="C2515" t="s">
        <v>1264</v>
      </c>
      <c r="D2515">
        <v>717360</v>
      </c>
      <c r="E2515" t="s">
        <v>10</v>
      </c>
      <c r="F2515">
        <v>49.521700000000003</v>
      </c>
      <c r="G2515">
        <v>-114.0047</v>
      </c>
      <c r="H2515">
        <v>-7</v>
      </c>
      <c r="I2515">
        <v>1190</v>
      </c>
      <c r="J2515" t="str">
        <f>HYPERLINK("https://climate.onebuilding.org/WMO_Region_4_North_and_Central_America/CAN_Canada/AB_Alberta/CAN_AB_Pincher.Creek.CS.717360_TMYx.2009-2023.zip")</f>
        <v>https://climate.onebuilding.org/WMO_Region_4_North_and_Central_America/CAN_Canada/AB_Alberta/CAN_AB_Pincher.Creek.CS.717360_TMYx.2009-2023.zip</v>
      </c>
    </row>
    <row r="2516" spans="1:10" x14ac:dyDescent="0.25">
      <c r="A2516" t="s">
        <v>6</v>
      </c>
      <c r="B2516" t="s">
        <v>17</v>
      </c>
      <c r="C2516" t="s">
        <v>1264</v>
      </c>
      <c r="D2516">
        <v>717360</v>
      </c>
      <c r="E2516" t="s">
        <v>10</v>
      </c>
      <c r="F2516">
        <v>49.521700000000003</v>
      </c>
      <c r="G2516">
        <v>-114.0047</v>
      </c>
      <c r="H2516">
        <v>-7</v>
      </c>
      <c r="I2516">
        <v>1190</v>
      </c>
      <c r="J2516" t="str">
        <f>HYPERLINK("https://climate.onebuilding.org/WMO_Region_4_North_and_Central_America/CAN_Canada/AB_Alberta/CAN_AB_Pincher.Creek.CS.717360_TMYx.zip")</f>
        <v>https://climate.onebuilding.org/WMO_Region_4_North_and_Central_America/CAN_Canada/AB_Alberta/CAN_AB_Pincher.Creek.CS.717360_TMYx.zip</v>
      </c>
    </row>
    <row r="2517" spans="1:10" x14ac:dyDescent="0.25">
      <c r="A2517" t="s">
        <v>6</v>
      </c>
      <c r="B2517" t="s">
        <v>14</v>
      </c>
      <c r="C2517" t="s">
        <v>1265</v>
      </c>
      <c r="D2517">
        <v>717361</v>
      </c>
      <c r="E2517" t="s">
        <v>244</v>
      </c>
      <c r="F2517">
        <v>48.633000000000003</v>
      </c>
      <c r="G2517">
        <v>-79.45</v>
      </c>
      <c r="H2517">
        <v>-5</v>
      </c>
      <c r="I2517">
        <v>269</v>
      </c>
      <c r="J2517" t="str">
        <f>HYPERLINK("https://climate.onebuilding.org/WMO_Region_4_North_and_Central_America/CAN_Canada/QC_Quebec/CAN_QC_Roquemaure.717361_TMYx.2007-2021.zip")</f>
        <v>https://climate.onebuilding.org/WMO_Region_4_North_and_Central_America/CAN_Canada/QC_Quebec/CAN_QC_Roquemaure.717361_TMYx.2007-2021.zip</v>
      </c>
    </row>
    <row r="2518" spans="1:10" x14ac:dyDescent="0.25">
      <c r="A2518" t="s">
        <v>6</v>
      </c>
      <c r="B2518" t="s">
        <v>14</v>
      </c>
      <c r="C2518" t="s">
        <v>1265</v>
      </c>
      <c r="D2518">
        <v>717361</v>
      </c>
      <c r="E2518" t="s">
        <v>244</v>
      </c>
      <c r="F2518">
        <v>48.633000000000003</v>
      </c>
      <c r="G2518">
        <v>-79.45</v>
      </c>
      <c r="H2518">
        <v>-5</v>
      </c>
      <c r="I2518">
        <v>269</v>
      </c>
      <c r="J2518" t="str">
        <f>HYPERLINK("https://climate.onebuilding.org/WMO_Region_4_North_and_Central_America/CAN_Canada/QC_Quebec/CAN_QC_Roquemaure.717361_TMYx.2009-2023.zip")</f>
        <v>https://climate.onebuilding.org/WMO_Region_4_North_and_Central_America/CAN_Canada/QC_Quebec/CAN_QC_Roquemaure.717361_TMYx.2009-2023.zip</v>
      </c>
    </row>
    <row r="2519" spans="1:10" x14ac:dyDescent="0.25">
      <c r="A2519" t="s">
        <v>6</v>
      </c>
      <c r="B2519" t="s">
        <v>14</v>
      </c>
      <c r="C2519" t="s">
        <v>1265</v>
      </c>
      <c r="D2519">
        <v>717361</v>
      </c>
      <c r="E2519" t="s">
        <v>244</v>
      </c>
      <c r="F2519">
        <v>48.633000000000003</v>
      </c>
      <c r="G2519">
        <v>-79.45</v>
      </c>
      <c r="H2519">
        <v>-5</v>
      </c>
      <c r="I2519">
        <v>269</v>
      </c>
      <c r="J2519" t="str">
        <f>HYPERLINK("https://climate.onebuilding.org/WMO_Region_4_North_and_Central_America/CAN_Canada/QC_Quebec/CAN_QC_Roquemaure.717361_TMYx.zip")</f>
        <v>https://climate.onebuilding.org/WMO_Region_4_North_and_Central_America/CAN_Canada/QC_Quebec/CAN_QC_Roquemaure.717361_TMYx.zip</v>
      </c>
    </row>
    <row r="2520" spans="1:10" x14ac:dyDescent="0.25">
      <c r="A2520" t="s">
        <v>6</v>
      </c>
      <c r="B2520" t="s">
        <v>130</v>
      </c>
      <c r="C2520" t="s">
        <v>1266</v>
      </c>
      <c r="D2520">
        <v>717366</v>
      </c>
      <c r="E2520" t="s">
        <v>1267</v>
      </c>
      <c r="F2520">
        <v>49.47</v>
      </c>
      <c r="G2520">
        <v>-94.77</v>
      </c>
      <c r="H2520">
        <v>-6</v>
      </c>
      <c r="I2520">
        <v>329</v>
      </c>
      <c r="J2520" t="str">
        <f>HYPERLINK("https://climate.onebuilding.org/WMO_Region_4_North_and_Central_America/CAN_Canada/ON_Ontario/CAN_ON_Royal.Island.717366_TMYx.2004-2018.zip")</f>
        <v>https://climate.onebuilding.org/WMO_Region_4_North_and_Central_America/CAN_Canada/ON_Ontario/CAN_ON_Royal.Island.717366_TMYx.2004-2018.zip</v>
      </c>
    </row>
    <row r="2521" spans="1:10" x14ac:dyDescent="0.25">
      <c r="A2521" t="s">
        <v>6</v>
      </c>
      <c r="B2521" t="s">
        <v>130</v>
      </c>
      <c r="C2521" t="s">
        <v>1266</v>
      </c>
      <c r="D2521">
        <v>717366</v>
      </c>
      <c r="E2521" t="s">
        <v>10</v>
      </c>
      <c r="F2521">
        <v>49.46</v>
      </c>
      <c r="G2521">
        <v>-94.77</v>
      </c>
      <c r="H2521">
        <v>-6</v>
      </c>
      <c r="I2521">
        <v>329</v>
      </c>
      <c r="J2521" t="str">
        <f>HYPERLINK("https://climate.onebuilding.org/WMO_Region_4_North_and_Central_America/CAN_Canada/ON_Ontario/CAN_ON_Royal.Island.717366_TMYx.2007-2021.zip")</f>
        <v>https://climate.onebuilding.org/WMO_Region_4_North_and_Central_America/CAN_Canada/ON_Ontario/CAN_ON_Royal.Island.717366_TMYx.2007-2021.zip</v>
      </c>
    </row>
    <row r="2522" spans="1:10" x14ac:dyDescent="0.25">
      <c r="A2522" t="s">
        <v>6</v>
      </c>
      <c r="B2522" t="s">
        <v>130</v>
      </c>
      <c r="C2522" t="s">
        <v>1266</v>
      </c>
      <c r="D2522">
        <v>717366</v>
      </c>
      <c r="E2522" t="s">
        <v>10</v>
      </c>
      <c r="F2522">
        <v>49.46</v>
      </c>
      <c r="G2522">
        <v>-94.77</v>
      </c>
      <c r="H2522">
        <v>-6</v>
      </c>
      <c r="I2522">
        <v>329</v>
      </c>
      <c r="J2522" t="str">
        <f>HYPERLINK("https://climate.onebuilding.org/WMO_Region_4_North_and_Central_America/CAN_Canada/ON_Ontario/CAN_ON_Royal.Island.717366_TMYx.2009-2023.zip")</f>
        <v>https://climate.onebuilding.org/WMO_Region_4_North_and_Central_America/CAN_Canada/ON_Ontario/CAN_ON_Royal.Island.717366_TMYx.2009-2023.zip</v>
      </c>
    </row>
    <row r="2523" spans="1:10" x14ac:dyDescent="0.25">
      <c r="A2523" t="s">
        <v>6</v>
      </c>
      <c r="B2523" t="s">
        <v>130</v>
      </c>
      <c r="C2523" t="s">
        <v>1266</v>
      </c>
      <c r="D2523">
        <v>717366</v>
      </c>
      <c r="E2523" t="s">
        <v>10</v>
      </c>
      <c r="F2523">
        <v>49.46</v>
      </c>
      <c r="G2523">
        <v>-94.77</v>
      </c>
      <c r="H2523">
        <v>-6</v>
      </c>
      <c r="I2523">
        <v>329</v>
      </c>
      <c r="J2523" t="str">
        <f>HYPERLINK("https://climate.onebuilding.org/WMO_Region_4_North_and_Central_America/CAN_Canada/ON_Ontario/CAN_ON_Royal.Island.717366_TMYx.zip")</f>
        <v>https://climate.onebuilding.org/WMO_Region_4_North_and_Central_America/CAN_Canada/ON_Ontario/CAN_ON_Royal.Island.717366_TMYx.zip</v>
      </c>
    </row>
    <row r="2524" spans="1:10" x14ac:dyDescent="0.25">
      <c r="A2524" t="s">
        <v>6</v>
      </c>
      <c r="B2524" t="s">
        <v>68</v>
      </c>
      <c r="C2524" t="s">
        <v>1268</v>
      </c>
      <c r="D2524">
        <v>717367</v>
      </c>
      <c r="E2524" t="s">
        <v>1269</v>
      </c>
      <c r="F2524">
        <v>46.366999999999997</v>
      </c>
      <c r="G2524">
        <v>-60.982999999999997</v>
      </c>
      <c r="H2524">
        <v>-4</v>
      </c>
      <c r="I2524">
        <v>46</v>
      </c>
      <c r="J2524" t="str">
        <f>HYPERLINK("https://climate.onebuilding.org/WMO_Region_4_North_and_Central_America/CAN_Canada/NS_Nova_Scotia/CAN_NS_Northeast.Margaree.717367_TMYx.2004-2018.zip")</f>
        <v>https://climate.onebuilding.org/WMO_Region_4_North_and_Central_America/CAN_Canada/NS_Nova_Scotia/CAN_NS_Northeast.Margaree.717367_TMYx.2004-2018.zip</v>
      </c>
    </row>
    <row r="2525" spans="1:10" x14ac:dyDescent="0.25">
      <c r="A2525" t="s">
        <v>6</v>
      </c>
      <c r="B2525" t="s">
        <v>68</v>
      </c>
      <c r="C2525" t="s">
        <v>1268</v>
      </c>
      <c r="D2525">
        <v>717367</v>
      </c>
      <c r="E2525" t="s">
        <v>10</v>
      </c>
      <c r="F2525">
        <v>46.366999999999997</v>
      </c>
      <c r="G2525">
        <v>-60.982999999999997</v>
      </c>
      <c r="H2525">
        <v>-4</v>
      </c>
      <c r="I2525">
        <v>46</v>
      </c>
      <c r="J2525" t="str">
        <f>HYPERLINK("https://climate.onebuilding.org/WMO_Region_4_North_and_Central_America/CAN_Canada/NS_Nova_Scotia/CAN_NS_Northeast.Margaree.717367_TMYx.2007-2021.zip")</f>
        <v>https://climate.onebuilding.org/WMO_Region_4_North_and_Central_America/CAN_Canada/NS_Nova_Scotia/CAN_NS_Northeast.Margaree.717367_TMYx.2007-2021.zip</v>
      </c>
    </row>
    <row r="2526" spans="1:10" x14ac:dyDescent="0.25">
      <c r="A2526" t="s">
        <v>6</v>
      </c>
      <c r="B2526" t="s">
        <v>68</v>
      </c>
      <c r="C2526" t="s">
        <v>1268</v>
      </c>
      <c r="D2526">
        <v>717367</v>
      </c>
      <c r="E2526" t="s">
        <v>10</v>
      </c>
      <c r="F2526">
        <v>46.366999999999997</v>
      </c>
      <c r="G2526">
        <v>-60.982999999999997</v>
      </c>
      <c r="H2526">
        <v>-4</v>
      </c>
      <c r="I2526">
        <v>46</v>
      </c>
      <c r="J2526" t="str">
        <f>HYPERLINK("https://climate.onebuilding.org/WMO_Region_4_North_and_Central_America/CAN_Canada/NS_Nova_Scotia/CAN_NS_Northeast.Margaree.717367_TMYx.2009-2023.zip")</f>
        <v>https://climate.onebuilding.org/WMO_Region_4_North_and_Central_America/CAN_Canada/NS_Nova_Scotia/CAN_NS_Northeast.Margaree.717367_TMYx.2009-2023.zip</v>
      </c>
    </row>
    <row r="2527" spans="1:10" x14ac:dyDescent="0.25">
      <c r="A2527" t="s">
        <v>6</v>
      </c>
      <c r="B2527" t="s">
        <v>68</v>
      </c>
      <c r="C2527" t="s">
        <v>1268</v>
      </c>
      <c r="D2527">
        <v>717367</v>
      </c>
      <c r="E2527" t="s">
        <v>10</v>
      </c>
      <c r="F2527">
        <v>46.366999999999997</v>
      </c>
      <c r="G2527">
        <v>-60.982999999999997</v>
      </c>
      <c r="H2527">
        <v>-4</v>
      </c>
      <c r="I2527">
        <v>46</v>
      </c>
      <c r="J2527" t="str">
        <f>HYPERLINK("https://climate.onebuilding.org/WMO_Region_4_North_and_Central_America/CAN_Canada/NS_Nova_Scotia/CAN_NS_Northeast.Margaree.717367_TMYx.zip")</f>
        <v>https://climate.onebuilding.org/WMO_Region_4_North_and_Central_America/CAN_Canada/NS_Nova_Scotia/CAN_NS_Northeast.Margaree.717367_TMYx.zip</v>
      </c>
    </row>
    <row r="2528" spans="1:10" x14ac:dyDescent="0.25">
      <c r="A2528" t="s">
        <v>6</v>
      </c>
      <c r="B2528" t="s">
        <v>14</v>
      </c>
      <c r="C2528" t="s">
        <v>1270</v>
      </c>
      <c r="D2528">
        <v>717370</v>
      </c>
      <c r="E2528" t="s">
        <v>1271</v>
      </c>
      <c r="F2528">
        <v>46.815600000000003</v>
      </c>
      <c r="G2528">
        <v>-74.093900000000005</v>
      </c>
      <c r="H2528">
        <v>-5</v>
      </c>
      <c r="I2528">
        <v>429.9</v>
      </c>
      <c r="J2528" t="str">
        <f>HYPERLINK("https://climate.onebuilding.org/WMO_Region_4_North_and_Central_America/CAN_Canada/QC_Quebec/CAN_QC_Saint.Michel.des.Saints.717370_TMYx.2004-2018.zip")</f>
        <v>https://climate.onebuilding.org/WMO_Region_4_North_and_Central_America/CAN_Canada/QC_Quebec/CAN_QC_Saint.Michel.des.Saints.717370_TMYx.2004-2018.zip</v>
      </c>
    </row>
    <row r="2529" spans="1:10" x14ac:dyDescent="0.25">
      <c r="A2529" t="s">
        <v>6</v>
      </c>
      <c r="B2529" t="s">
        <v>14</v>
      </c>
      <c r="C2529" t="s">
        <v>1270</v>
      </c>
      <c r="D2529">
        <v>717370</v>
      </c>
      <c r="E2529" t="s">
        <v>10</v>
      </c>
      <c r="F2529">
        <v>46.815600000000003</v>
      </c>
      <c r="G2529">
        <v>-74.093900000000005</v>
      </c>
      <c r="H2529">
        <v>-5</v>
      </c>
      <c r="I2529">
        <v>429.9</v>
      </c>
      <c r="J2529" t="str">
        <f>HYPERLINK("https://climate.onebuilding.org/WMO_Region_4_North_and_Central_America/CAN_Canada/QC_Quebec/CAN_QC_Saint.Michel.des.Saints.717370_TMYx.2007-2021.zip")</f>
        <v>https://climate.onebuilding.org/WMO_Region_4_North_and_Central_America/CAN_Canada/QC_Quebec/CAN_QC_Saint.Michel.des.Saints.717370_TMYx.2007-2021.zip</v>
      </c>
    </row>
    <row r="2530" spans="1:10" x14ac:dyDescent="0.25">
      <c r="A2530" t="s">
        <v>6</v>
      </c>
      <c r="B2530" t="s">
        <v>14</v>
      </c>
      <c r="C2530" t="s">
        <v>1270</v>
      </c>
      <c r="D2530">
        <v>717370</v>
      </c>
      <c r="E2530" t="s">
        <v>10</v>
      </c>
      <c r="F2530">
        <v>46.815600000000003</v>
      </c>
      <c r="G2530">
        <v>-74.093900000000005</v>
      </c>
      <c r="H2530">
        <v>-5</v>
      </c>
      <c r="I2530">
        <v>429.9</v>
      </c>
      <c r="J2530" t="str">
        <f>HYPERLINK("https://climate.onebuilding.org/WMO_Region_4_North_and_Central_America/CAN_Canada/QC_Quebec/CAN_QC_Saint.Michel.des.Saints.717370_TMYx.2009-2023.zip")</f>
        <v>https://climate.onebuilding.org/WMO_Region_4_North_and_Central_America/CAN_Canada/QC_Quebec/CAN_QC_Saint.Michel.des.Saints.717370_TMYx.2009-2023.zip</v>
      </c>
    </row>
    <row r="2531" spans="1:10" x14ac:dyDescent="0.25">
      <c r="A2531" t="s">
        <v>6</v>
      </c>
      <c r="B2531" t="s">
        <v>14</v>
      </c>
      <c r="C2531" t="s">
        <v>1270</v>
      </c>
      <c r="D2531">
        <v>717370</v>
      </c>
      <c r="E2531" t="s">
        <v>10</v>
      </c>
      <c r="F2531">
        <v>46.815600000000003</v>
      </c>
      <c r="G2531">
        <v>-74.093900000000005</v>
      </c>
      <c r="H2531">
        <v>-5</v>
      </c>
      <c r="I2531">
        <v>429.9</v>
      </c>
      <c r="J2531" t="str">
        <f>HYPERLINK("https://climate.onebuilding.org/WMO_Region_4_North_and_Central_America/CAN_Canada/QC_Quebec/CAN_QC_Saint.Michel.des.Saints.717370_TMYx.zip")</f>
        <v>https://climate.onebuilding.org/WMO_Region_4_North_and_Central_America/CAN_Canada/QC_Quebec/CAN_QC_Saint.Michel.des.Saints.717370_TMYx.zip</v>
      </c>
    </row>
    <row r="2532" spans="1:10" x14ac:dyDescent="0.25">
      <c r="A2532" t="s">
        <v>6</v>
      </c>
      <c r="B2532" t="s">
        <v>130</v>
      </c>
      <c r="C2532" t="s">
        <v>1272</v>
      </c>
      <c r="D2532">
        <v>717380</v>
      </c>
      <c r="E2532" t="s">
        <v>1273</v>
      </c>
      <c r="F2532">
        <v>47.966700000000003</v>
      </c>
      <c r="G2532">
        <v>-84.783299999999997</v>
      </c>
      <c r="H2532">
        <v>-5</v>
      </c>
      <c r="I2532">
        <v>287.10000000000002</v>
      </c>
      <c r="J2532" t="str">
        <f>HYPERLINK("https://climate.onebuilding.org/WMO_Region_4_North_and_Central_America/CAN_Canada/ON_Ontario/CAN_ON_Wawa.Muni.AP.717380_TMYx.2004-2018.zip")</f>
        <v>https://climate.onebuilding.org/WMO_Region_4_North_and_Central_America/CAN_Canada/ON_Ontario/CAN_ON_Wawa.Muni.AP.717380_TMYx.2004-2018.zip</v>
      </c>
    </row>
    <row r="2533" spans="1:10" x14ac:dyDescent="0.25">
      <c r="A2533" t="s">
        <v>6</v>
      </c>
      <c r="B2533" t="s">
        <v>130</v>
      </c>
      <c r="C2533" t="s">
        <v>1272</v>
      </c>
      <c r="D2533">
        <v>717380</v>
      </c>
      <c r="E2533" t="s">
        <v>10</v>
      </c>
      <c r="F2533">
        <v>47.972999999999999</v>
      </c>
      <c r="G2533">
        <v>-84.782399999999996</v>
      </c>
      <c r="H2533">
        <v>-5</v>
      </c>
      <c r="I2533">
        <v>287.10000000000002</v>
      </c>
      <c r="J2533" t="str">
        <f>HYPERLINK("https://climate.onebuilding.org/WMO_Region_4_North_and_Central_America/CAN_Canada/ON_Ontario/CAN_ON_Wawa.Muni.AP.717380_TMYx.2007-2021.zip")</f>
        <v>https://climate.onebuilding.org/WMO_Region_4_North_and_Central_America/CAN_Canada/ON_Ontario/CAN_ON_Wawa.Muni.AP.717380_TMYx.2007-2021.zip</v>
      </c>
    </row>
    <row r="2534" spans="1:10" x14ac:dyDescent="0.25">
      <c r="A2534" t="s">
        <v>6</v>
      </c>
      <c r="B2534" t="s">
        <v>130</v>
      </c>
      <c r="C2534" t="s">
        <v>1272</v>
      </c>
      <c r="D2534">
        <v>717380</v>
      </c>
      <c r="E2534" t="s">
        <v>10</v>
      </c>
      <c r="F2534">
        <v>47.972999999999999</v>
      </c>
      <c r="G2534">
        <v>-84.782399999999996</v>
      </c>
      <c r="H2534">
        <v>-5</v>
      </c>
      <c r="I2534">
        <v>287.10000000000002</v>
      </c>
      <c r="J2534" t="str">
        <f>HYPERLINK("https://climate.onebuilding.org/WMO_Region_4_North_and_Central_America/CAN_Canada/ON_Ontario/CAN_ON_Wawa.Muni.AP.717380_TMYx.2009-2023.zip")</f>
        <v>https://climate.onebuilding.org/WMO_Region_4_North_and_Central_America/CAN_Canada/ON_Ontario/CAN_ON_Wawa.Muni.AP.717380_TMYx.2009-2023.zip</v>
      </c>
    </row>
    <row r="2535" spans="1:10" x14ac:dyDescent="0.25">
      <c r="A2535" t="s">
        <v>6</v>
      </c>
      <c r="B2535" t="s">
        <v>130</v>
      </c>
      <c r="C2535" t="s">
        <v>1272</v>
      </c>
      <c r="D2535">
        <v>717380</v>
      </c>
      <c r="E2535" t="s">
        <v>10</v>
      </c>
      <c r="F2535">
        <v>47.972999999999999</v>
      </c>
      <c r="G2535">
        <v>-84.782399999999996</v>
      </c>
      <c r="H2535">
        <v>-5</v>
      </c>
      <c r="I2535">
        <v>287.10000000000002</v>
      </c>
      <c r="J2535" t="str">
        <f>HYPERLINK("https://climate.onebuilding.org/WMO_Region_4_North_and_Central_America/CAN_Canada/ON_Ontario/CAN_ON_Wawa.Muni.AP.717380_TMYx.zip")</f>
        <v>https://climate.onebuilding.org/WMO_Region_4_North_and_Central_America/CAN_Canada/ON_Ontario/CAN_ON_Wawa.Muni.AP.717380_TMYx.zip</v>
      </c>
    </row>
    <row r="2536" spans="1:10" x14ac:dyDescent="0.25">
      <c r="A2536" t="s">
        <v>6</v>
      </c>
      <c r="B2536" t="s">
        <v>130</v>
      </c>
      <c r="C2536" t="s">
        <v>1274</v>
      </c>
      <c r="D2536">
        <v>717390</v>
      </c>
      <c r="E2536" t="s">
        <v>1275</v>
      </c>
      <c r="F2536">
        <v>48.569699999999997</v>
      </c>
      <c r="G2536">
        <v>-81.3767</v>
      </c>
      <c r="H2536">
        <v>-5</v>
      </c>
      <c r="I2536">
        <v>294.7</v>
      </c>
      <c r="J2536" t="str">
        <f>HYPERLINK("https://climate.onebuilding.org/WMO_Region_4_North_and_Central_America/CAN_Canada/ON_Ontario/CAN_ON_Timmins-Power.AP.717390_TMYx.2004-2018.zip")</f>
        <v>https://climate.onebuilding.org/WMO_Region_4_North_and_Central_America/CAN_Canada/ON_Ontario/CAN_ON_Timmins-Power.AP.717390_TMYx.2004-2018.zip</v>
      </c>
    </row>
    <row r="2537" spans="1:10" x14ac:dyDescent="0.25">
      <c r="A2537" t="s">
        <v>6</v>
      </c>
      <c r="B2537" t="s">
        <v>130</v>
      </c>
      <c r="C2537" t="s">
        <v>1274</v>
      </c>
      <c r="D2537">
        <v>717390</v>
      </c>
      <c r="E2537" t="s">
        <v>10</v>
      </c>
      <c r="F2537">
        <v>48.567999999999998</v>
      </c>
      <c r="G2537">
        <v>-81.378</v>
      </c>
      <c r="H2537">
        <v>-5</v>
      </c>
      <c r="I2537">
        <v>294.7</v>
      </c>
      <c r="J2537" t="str">
        <f>HYPERLINK("https://climate.onebuilding.org/WMO_Region_4_North_and_Central_America/CAN_Canada/ON_Ontario/CAN_ON_Timmins-Power.AP.717390_TMYx.2007-2021.zip")</f>
        <v>https://climate.onebuilding.org/WMO_Region_4_North_and_Central_America/CAN_Canada/ON_Ontario/CAN_ON_Timmins-Power.AP.717390_TMYx.2007-2021.zip</v>
      </c>
    </row>
    <row r="2538" spans="1:10" x14ac:dyDescent="0.25">
      <c r="A2538" t="s">
        <v>6</v>
      </c>
      <c r="B2538" t="s">
        <v>130</v>
      </c>
      <c r="C2538" t="s">
        <v>1274</v>
      </c>
      <c r="D2538">
        <v>717390</v>
      </c>
      <c r="E2538" t="s">
        <v>10</v>
      </c>
      <c r="F2538">
        <v>48.567999999999998</v>
      </c>
      <c r="G2538">
        <v>-81.378</v>
      </c>
      <c r="H2538">
        <v>-5</v>
      </c>
      <c r="I2538">
        <v>294.7</v>
      </c>
      <c r="J2538" t="str">
        <f>HYPERLINK("https://climate.onebuilding.org/WMO_Region_4_North_and_Central_America/CAN_Canada/ON_Ontario/CAN_ON_Timmins-Power.AP.717390_TMYx.2009-2023.zip")</f>
        <v>https://climate.onebuilding.org/WMO_Region_4_North_and_Central_America/CAN_Canada/ON_Ontario/CAN_ON_Timmins-Power.AP.717390_TMYx.2009-2023.zip</v>
      </c>
    </row>
    <row r="2539" spans="1:10" x14ac:dyDescent="0.25">
      <c r="A2539" t="s">
        <v>6</v>
      </c>
      <c r="B2539" t="s">
        <v>130</v>
      </c>
      <c r="C2539" t="s">
        <v>1274</v>
      </c>
      <c r="D2539">
        <v>717390</v>
      </c>
      <c r="E2539" t="s">
        <v>10</v>
      </c>
      <c r="F2539">
        <v>48.567999999999998</v>
      </c>
      <c r="G2539">
        <v>-81.378</v>
      </c>
      <c r="H2539">
        <v>-5</v>
      </c>
      <c r="I2539">
        <v>294.7</v>
      </c>
      <c r="J2539" t="str">
        <f>HYPERLINK("https://climate.onebuilding.org/WMO_Region_4_North_and_Central_America/CAN_Canada/ON_Ontario/CAN_ON_Timmins-Power.AP.717390_TMYx.zip")</f>
        <v>https://climate.onebuilding.org/WMO_Region_4_North_and_Central_America/CAN_Canada/ON_Ontario/CAN_ON_Timmins-Power.AP.717390_TMYx.zip</v>
      </c>
    </row>
    <row r="2540" spans="1:10" x14ac:dyDescent="0.25">
      <c r="A2540" t="s">
        <v>6</v>
      </c>
      <c r="B2540" t="s">
        <v>14</v>
      </c>
      <c r="C2540" t="s">
        <v>1276</v>
      </c>
      <c r="D2540">
        <v>717430</v>
      </c>
      <c r="E2540" t="s">
        <v>1277</v>
      </c>
      <c r="F2540">
        <v>57.909500000000001</v>
      </c>
      <c r="G2540">
        <v>-72.975800000000007</v>
      </c>
      <c r="H2540">
        <v>-5</v>
      </c>
      <c r="I2540">
        <v>171.4</v>
      </c>
      <c r="J2540" t="str">
        <f>HYPERLINK("https://climate.onebuilding.org/WMO_Region_4_North_and_Central_America/CAN_Canada/QC_Quebec/CAN_QC_Riviere.Aux.Feuilles.717430_TMYx.2004-2018.zip")</f>
        <v>https://climate.onebuilding.org/WMO_Region_4_North_and_Central_America/CAN_Canada/QC_Quebec/CAN_QC_Riviere.Aux.Feuilles.717430_TMYx.2004-2018.zip</v>
      </c>
    </row>
    <row r="2541" spans="1:10" x14ac:dyDescent="0.25">
      <c r="A2541" t="s">
        <v>6</v>
      </c>
      <c r="B2541" t="s">
        <v>14</v>
      </c>
      <c r="C2541" t="s">
        <v>1276</v>
      </c>
      <c r="D2541">
        <v>717430</v>
      </c>
      <c r="E2541" t="s">
        <v>10</v>
      </c>
      <c r="F2541">
        <v>57.909730000000003</v>
      </c>
      <c r="G2541">
        <v>-72.976110000000006</v>
      </c>
      <c r="H2541">
        <v>-5</v>
      </c>
      <c r="I2541">
        <v>171.4</v>
      </c>
      <c r="J2541" t="str">
        <f>HYPERLINK("https://climate.onebuilding.org/WMO_Region_4_North_and_Central_America/CAN_Canada/QC_Quebec/CAN_QC_Riviere.Aux.Feuilles.717430_TMYx.2007-2021.zip")</f>
        <v>https://climate.onebuilding.org/WMO_Region_4_North_and_Central_America/CAN_Canada/QC_Quebec/CAN_QC_Riviere.Aux.Feuilles.717430_TMYx.2007-2021.zip</v>
      </c>
    </row>
    <row r="2542" spans="1:10" x14ac:dyDescent="0.25">
      <c r="A2542" t="s">
        <v>6</v>
      </c>
      <c r="B2542" t="s">
        <v>14</v>
      </c>
      <c r="C2542" t="s">
        <v>1276</v>
      </c>
      <c r="D2542">
        <v>717430</v>
      </c>
      <c r="E2542" t="s">
        <v>10</v>
      </c>
      <c r="F2542">
        <v>57.909730000000003</v>
      </c>
      <c r="G2542">
        <v>-72.976110000000006</v>
      </c>
      <c r="H2542">
        <v>-5</v>
      </c>
      <c r="I2542">
        <v>171.4</v>
      </c>
      <c r="J2542" t="str">
        <f>HYPERLINK("https://climate.onebuilding.org/WMO_Region_4_North_and_Central_America/CAN_Canada/QC_Quebec/CAN_QC_Riviere.Aux.Feuilles.717430_TMYx.2009-2023.zip")</f>
        <v>https://climate.onebuilding.org/WMO_Region_4_North_and_Central_America/CAN_Canada/QC_Quebec/CAN_QC_Riviere.Aux.Feuilles.717430_TMYx.2009-2023.zip</v>
      </c>
    </row>
    <row r="2543" spans="1:10" x14ac:dyDescent="0.25">
      <c r="A2543" t="s">
        <v>6</v>
      </c>
      <c r="B2543" t="s">
        <v>14</v>
      </c>
      <c r="C2543" t="s">
        <v>1276</v>
      </c>
      <c r="D2543">
        <v>717430</v>
      </c>
      <c r="E2543" t="s">
        <v>10</v>
      </c>
      <c r="F2543">
        <v>57.909730000000003</v>
      </c>
      <c r="G2543">
        <v>-72.976110000000006</v>
      </c>
      <c r="H2543">
        <v>-5</v>
      </c>
      <c r="I2543">
        <v>171.4</v>
      </c>
      <c r="J2543" t="str">
        <f>HYPERLINK("https://climate.onebuilding.org/WMO_Region_4_North_and_Central_America/CAN_Canada/QC_Quebec/CAN_QC_Riviere.Aux.Feuilles.717430_TMYx.zip")</f>
        <v>https://climate.onebuilding.org/WMO_Region_4_North_and_Central_America/CAN_Canada/QC_Quebec/CAN_QC_Riviere.Aux.Feuilles.717430_TMYx.zip</v>
      </c>
    </row>
    <row r="2544" spans="1:10" x14ac:dyDescent="0.25">
      <c r="A2544" t="s">
        <v>6</v>
      </c>
      <c r="B2544" t="s">
        <v>45</v>
      </c>
      <c r="C2544" t="s">
        <v>1278</v>
      </c>
      <c r="D2544">
        <v>717440</v>
      </c>
      <c r="E2544" t="s">
        <v>1279</v>
      </c>
      <c r="F2544">
        <v>47.009500000000003</v>
      </c>
      <c r="G2544">
        <v>-65.465000000000003</v>
      </c>
      <c r="H2544">
        <v>-4</v>
      </c>
      <c r="I2544">
        <v>33.799999999999997</v>
      </c>
      <c r="J2544" t="str">
        <f>HYPERLINK("https://climate.onebuilding.org/WMO_Region_4_North_and_Central_America/CAN_Canada/NB_New_Brunswick/CAN_NB_Miramichi.AP.RCS.717440_TMYx.2004-2018.zip")</f>
        <v>https://climate.onebuilding.org/WMO_Region_4_North_and_Central_America/CAN_Canada/NB_New_Brunswick/CAN_NB_Miramichi.AP.RCS.717440_TMYx.2004-2018.zip</v>
      </c>
    </row>
    <row r="2545" spans="1:10" x14ac:dyDescent="0.25">
      <c r="A2545" t="s">
        <v>6</v>
      </c>
      <c r="B2545" t="s">
        <v>45</v>
      </c>
      <c r="C2545" t="s">
        <v>1278</v>
      </c>
      <c r="D2545">
        <v>717440</v>
      </c>
      <c r="E2545" t="s">
        <v>10</v>
      </c>
      <c r="F2545">
        <v>47.009500000000003</v>
      </c>
      <c r="G2545">
        <v>-65.465000000000003</v>
      </c>
      <c r="H2545">
        <v>-4</v>
      </c>
      <c r="I2545">
        <v>33.799999999999997</v>
      </c>
      <c r="J2545" t="str">
        <f>HYPERLINK("https://climate.onebuilding.org/WMO_Region_4_North_and_Central_America/CAN_Canada/NB_New_Brunswick/CAN_NB_Miramichi.AP.RCS.717440_TMYx.2007-2021.zip")</f>
        <v>https://climate.onebuilding.org/WMO_Region_4_North_and_Central_America/CAN_Canada/NB_New_Brunswick/CAN_NB_Miramichi.AP.RCS.717440_TMYx.2007-2021.zip</v>
      </c>
    </row>
    <row r="2546" spans="1:10" x14ac:dyDescent="0.25">
      <c r="A2546" t="s">
        <v>6</v>
      </c>
      <c r="B2546" t="s">
        <v>45</v>
      </c>
      <c r="C2546" t="s">
        <v>1278</v>
      </c>
      <c r="D2546">
        <v>717440</v>
      </c>
      <c r="E2546" t="s">
        <v>10</v>
      </c>
      <c r="F2546">
        <v>47.009500000000003</v>
      </c>
      <c r="G2546">
        <v>-65.465000000000003</v>
      </c>
      <c r="H2546">
        <v>-4</v>
      </c>
      <c r="I2546">
        <v>33.799999999999997</v>
      </c>
      <c r="J2546" t="str">
        <f>HYPERLINK("https://climate.onebuilding.org/WMO_Region_4_North_and_Central_America/CAN_Canada/NB_New_Brunswick/CAN_NB_Miramichi.AP.RCS.717440_TMYx.2009-2023.zip")</f>
        <v>https://climate.onebuilding.org/WMO_Region_4_North_and_Central_America/CAN_Canada/NB_New_Brunswick/CAN_NB_Miramichi.AP.RCS.717440_TMYx.2009-2023.zip</v>
      </c>
    </row>
    <row r="2547" spans="1:10" x14ac:dyDescent="0.25">
      <c r="A2547" t="s">
        <v>6</v>
      </c>
      <c r="B2547" t="s">
        <v>45</v>
      </c>
      <c r="C2547" t="s">
        <v>1278</v>
      </c>
      <c r="D2547">
        <v>717440</v>
      </c>
      <c r="E2547" t="s">
        <v>10</v>
      </c>
      <c r="F2547">
        <v>47.009500000000003</v>
      </c>
      <c r="G2547">
        <v>-65.465000000000003</v>
      </c>
      <c r="H2547">
        <v>-4</v>
      </c>
      <c r="I2547">
        <v>33.799999999999997</v>
      </c>
      <c r="J2547" t="str">
        <f>HYPERLINK("https://climate.onebuilding.org/WMO_Region_4_North_and_Central_America/CAN_Canada/NB_New_Brunswick/CAN_NB_Miramichi.AP.RCS.717440_TMYx.zip")</f>
        <v>https://climate.onebuilding.org/WMO_Region_4_North_and_Central_America/CAN_Canada/NB_New_Brunswick/CAN_NB_Miramichi.AP.RCS.717440_TMYx.zip</v>
      </c>
    </row>
    <row r="2548" spans="1:10" x14ac:dyDescent="0.25">
      <c r="A2548" t="s">
        <v>6</v>
      </c>
      <c r="B2548" t="s">
        <v>130</v>
      </c>
      <c r="C2548" t="s">
        <v>1280</v>
      </c>
      <c r="D2548">
        <v>717460</v>
      </c>
      <c r="E2548" t="s">
        <v>10</v>
      </c>
      <c r="F2548">
        <v>43</v>
      </c>
      <c r="G2548">
        <v>-82.3</v>
      </c>
      <c r="H2548">
        <v>-5</v>
      </c>
      <c r="I2548">
        <v>181</v>
      </c>
      <c r="J2548" t="str">
        <f>HYPERLINK("https://climate.onebuilding.org/WMO_Region_4_North_and_Central_America/CAN_Canada/ON_Ontario/CAN_ON_Sarnia.CS.717460_TMYx.2007-2021.zip")</f>
        <v>https://climate.onebuilding.org/WMO_Region_4_North_and_Central_America/CAN_Canada/ON_Ontario/CAN_ON_Sarnia.CS.717460_TMYx.2007-2021.zip</v>
      </c>
    </row>
    <row r="2549" spans="1:10" x14ac:dyDescent="0.25">
      <c r="A2549" t="s">
        <v>6</v>
      </c>
      <c r="B2549" t="s">
        <v>130</v>
      </c>
      <c r="C2549" t="s">
        <v>1280</v>
      </c>
      <c r="D2549">
        <v>717460</v>
      </c>
      <c r="E2549" t="s">
        <v>10</v>
      </c>
      <c r="F2549">
        <v>43</v>
      </c>
      <c r="G2549">
        <v>-82.3</v>
      </c>
      <c r="H2549">
        <v>-5</v>
      </c>
      <c r="I2549">
        <v>181</v>
      </c>
      <c r="J2549" t="str">
        <f>HYPERLINK("https://climate.onebuilding.org/WMO_Region_4_North_and_Central_America/CAN_Canada/ON_Ontario/CAN_ON_Sarnia.CS.717460_TMYx.2009-2023.zip")</f>
        <v>https://climate.onebuilding.org/WMO_Region_4_North_and_Central_America/CAN_Canada/ON_Ontario/CAN_ON_Sarnia.CS.717460_TMYx.2009-2023.zip</v>
      </c>
    </row>
    <row r="2550" spans="1:10" x14ac:dyDescent="0.25">
      <c r="A2550" t="s">
        <v>6</v>
      </c>
      <c r="B2550" t="s">
        <v>130</v>
      </c>
      <c r="C2550" t="s">
        <v>1280</v>
      </c>
      <c r="D2550">
        <v>717460</v>
      </c>
      <c r="E2550" t="s">
        <v>10</v>
      </c>
      <c r="F2550">
        <v>43</v>
      </c>
      <c r="G2550">
        <v>-82.3</v>
      </c>
      <c r="H2550">
        <v>-5</v>
      </c>
      <c r="I2550">
        <v>181</v>
      </c>
      <c r="J2550" t="str">
        <f>HYPERLINK("https://climate.onebuilding.org/WMO_Region_4_North_and_Central_America/CAN_Canada/ON_Ontario/CAN_ON_Sarnia.CS.717460_TMYx.zip")</f>
        <v>https://climate.onebuilding.org/WMO_Region_4_North_and_Central_America/CAN_Canada/ON_Ontario/CAN_ON_Sarnia.CS.717460_TMYx.zip</v>
      </c>
    </row>
    <row r="2551" spans="1:10" x14ac:dyDescent="0.25">
      <c r="A2551" t="s">
        <v>6</v>
      </c>
      <c r="B2551" t="s">
        <v>130</v>
      </c>
      <c r="C2551" t="s">
        <v>1281</v>
      </c>
      <c r="D2551">
        <v>717470</v>
      </c>
      <c r="E2551" t="s">
        <v>1282</v>
      </c>
      <c r="F2551">
        <v>48.75</v>
      </c>
      <c r="G2551">
        <v>-91.617000000000004</v>
      </c>
      <c r="H2551">
        <v>-5</v>
      </c>
      <c r="I2551">
        <v>389</v>
      </c>
      <c r="J2551" t="str">
        <f>HYPERLINK("https://climate.onebuilding.org/WMO_Region_4_North_and_Central_America/CAN_Canada/ON_Ontario/CAN_ON_Atikokan.717470_TMYx.2004-2018.zip")</f>
        <v>https://climate.onebuilding.org/WMO_Region_4_North_and_Central_America/CAN_Canada/ON_Ontario/CAN_ON_Atikokan.717470_TMYx.2004-2018.zip</v>
      </c>
    </row>
    <row r="2552" spans="1:10" x14ac:dyDescent="0.25">
      <c r="A2552" t="s">
        <v>6</v>
      </c>
      <c r="B2552" t="s">
        <v>130</v>
      </c>
      <c r="C2552" t="s">
        <v>1281</v>
      </c>
      <c r="D2552">
        <v>717470</v>
      </c>
      <c r="E2552" t="s">
        <v>10</v>
      </c>
      <c r="F2552">
        <v>48.761000000000003</v>
      </c>
      <c r="G2552">
        <v>-91.628299999999996</v>
      </c>
      <c r="H2552">
        <v>-5</v>
      </c>
      <c r="I2552">
        <v>389</v>
      </c>
      <c r="J2552" t="str">
        <f>HYPERLINK("https://climate.onebuilding.org/WMO_Region_4_North_and_Central_America/CAN_Canada/ON_Ontario/CAN_ON_Atikokan.717470_TMYx.2007-2021.zip")</f>
        <v>https://climate.onebuilding.org/WMO_Region_4_North_and_Central_America/CAN_Canada/ON_Ontario/CAN_ON_Atikokan.717470_TMYx.2007-2021.zip</v>
      </c>
    </row>
    <row r="2553" spans="1:10" x14ac:dyDescent="0.25">
      <c r="A2553" t="s">
        <v>6</v>
      </c>
      <c r="B2553" t="s">
        <v>130</v>
      </c>
      <c r="C2553" t="s">
        <v>1281</v>
      </c>
      <c r="D2553">
        <v>717470</v>
      </c>
      <c r="E2553" t="s">
        <v>10</v>
      </c>
      <c r="F2553">
        <v>48.761000000000003</v>
      </c>
      <c r="G2553">
        <v>-91.628299999999996</v>
      </c>
      <c r="H2553">
        <v>-5</v>
      </c>
      <c r="I2553">
        <v>389</v>
      </c>
      <c r="J2553" t="str">
        <f>HYPERLINK("https://climate.onebuilding.org/WMO_Region_4_North_and_Central_America/CAN_Canada/ON_Ontario/CAN_ON_Atikokan.717470_TMYx.2009-2023.zip")</f>
        <v>https://climate.onebuilding.org/WMO_Region_4_North_and_Central_America/CAN_Canada/ON_Ontario/CAN_ON_Atikokan.717470_TMYx.2009-2023.zip</v>
      </c>
    </row>
    <row r="2554" spans="1:10" x14ac:dyDescent="0.25">
      <c r="A2554" t="s">
        <v>6</v>
      </c>
      <c r="B2554" t="s">
        <v>130</v>
      </c>
      <c r="C2554" t="s">
        <v>1281</v>
      </c>
      <c r="D2554">
        <v>717470</v>
      </c>
      <c r="E2554" t="s">
        <v>10</v>
      </c>
      <c r="F2554">
        <v>48.761000000000003</v>
      </c>
      <c r="G2554">
        <v>-91.628299999999996</v>
      </c>
      <c r="H2554">
        <v>-5</v>
      </c>
      <c r="I2554">
        <v>389</v>
      </c>
      <c r="J2554" t="str">
        <f>HYPERLINK("https://climate.onebuilding.org/WMO_Region_4_North_and_Central_America/CAN_Canada/ON_Ontario/CAN_ON_Atikokan.717470_TMYx.zip")</f>
        <v>https://climate.onebuilding.org/WMO_Region_4_North_and_Central_America/CAN_Canada/ON_Ontario/CAN_ON_Atikokan.717470_TMYx.zip</v>
      </c>
    </row>
    <row r="2555" spans="1:10" x14ac:dyDescent="0.25">
      <c r="A2555" t="s">
        <v>6</v>
      </c>
      <c r="B2555" t="s">
        <v>94</v>
      </c>
      <c r="C2555" t="s">
        <v>1283</v>
      </c>
      <c r="D2555">
        <v>717480</v>
      </c>
      <c r="E2555" t="s">
        <v>1284</v>
      </c>
      <c r="F2555">
        <v>50.633299999999998</v>
      </c>
      <c r="G2555">
        <v>-97.05</v>
      </c>
      <c r="H2555">
        <v>-6</v>
      </c>
      <c r="I2555">
        <v>230.1</v>
      </c>
      <c r="J2555" t="str">
        <f>HYPERLINK("https://climate.onebuilding.org/WMO_Region_4_North_and_Central_America/CAN_Canada/MB_Manitoba/CAN_MB_Gimli.Industrial.Park.AP.717480_TMYx.2004-2018.zip")</f>
        <v>https://climate.onebuilding.org/WMO_Region_4_North_and_Central_America/CAN_Canada/MB_Manitoba/CAN_MB_Gimli.Industrial.Park.AP.717480_TMYx.2004-2018.zip</v>
      </c>
    </row>
    <row r="2556" spans="1:10" x14ac:dyDescent="0.25">
      <c r="A2556" t="s">
        <v>6</v>
      </c>
      <c r="B2556" t="s">
        <v>94</v>
      </c>
      <c r="C2556" t="s">
        <v>1283</v>
      </c>
      <c r="D2556">
        <v>717480</v>
      </c>
      <c r="E2556" t="s">
        <v>10</v>
      </c>
      <c r="F2556">
        <v>50.639400000000002</v>
      </c>
      <c r="G2556">
        <v>-97.046000000000006</v>
      </c>
      <c r="H2556">
        <v>-6</v>
      </c>
      <c r="I2556">
        <v>230.1</v>
      </c>
      <c r="J2556" t="str">
        <f>HYPERLINK("https://climate.onebuilding.org/WMO_Region_4_North_and_Central_America/CAN_Canada/MB_Manitoba/CAN_MB_Gimli.Industrial.Park.AP.717480_TMYx.2007-2021.zip")</f>
        <v>https://climate.onebuilding.org/WMO_Region_4_North_and_Central_America/CAN_Canada/MB_Manitoba/CAN_MB_Gimli.Industrial.Park.AP.717480_TMYx.2007-2021.zip</v>
      </c>
    </row>
    <row r="2557" spans="1:10" x14ac:dyDescent="0.25">
      <c r="A2557" t="s">
        <v>6</v>
      </c>
      <c r="B2557" t="s">
        <v>94</v>
      </c>
      <c r="C2557" t="s">
        <v>1283</v>
      </c>
      <c r="D2557">
        <v>717480</v>
      </c>
      <c r="E2557" t="s">
        <v>10</v>
      </c>
      <c r="F2557">
        <v>50.639400000000002</v>
      </c>
      <c r="G2557">
        <v>-97.046000000000006</v>
      </c>
      <c r="H2557">
        <v>-6</v>
      </c>
      <c r="I2557">
        <v>230.1</v>
      </c>
      <c r="J2557" t="str">
        <f>HYPERLINK("https://climate.onebuilding.org/WMO_Region_4_North_and_Central_America/CAN_Canada/MB_Manitoba/CAN_MB_Gimli.Industrial.Park.AP.717480_TMYx.2009-2023.zip")</f>
        <v>https://climate.onebuilding.org/WMO_Region_4_North_and_Central_America/CAN_Canada/MB_Manitoba/CAN_MB_Gimli.Industrial.Park.AP.717480_TMYx.2009-2023.zip</v>
      </c>
    </row>
    <row r="2558" spans="1:10" x14ac:dyDescent="0.25">
      <c r="A2558" t="s">
        <v>6</v>
      </c>
      <c r="B2558" t="s">
        <v>94</v>
      </c>
      <c r="C2558" t="s">
        <v>1283</v>
      </c>
      <c r="D2558">
        <v>717480</v>
      </c>
      <c r="E2558" t="s">
        <v>10</v>
      </c>
      <c r="F2558">
        <v>50.639400000000002</v>
      </c>
      <c r="G2558">
        <v>-97.046000000000006</v>
      </c>
      <c r="H2558">
        <v>-6</v>
      </c>
      <c r="I2558">
        <v>230.1</v>
      </c>
      <c r="J2558" t="str">
        <f>HYPERLINK("https://climate.onebuilding.org/WMO_Region_4_North_and_Central_America/CAN_Canada/MB_Manitoba/CAN_MB_Gimli.Industrial.Park.AP.717480_TMYx.zip")</f>
        <v>https://climate.onebuilding.org/WMO_Region_4_North_and_Central_America/CAN_Canada/MB_Manitoba/CAN_MB_Gimli.Industrial.Park.AP.717480_TMYx.zip</v>
      </c>
    </row>
    <row r="2559" spans="1:10" x14ac:dyDescent="0.25">
      <c r="A2559" t="s">
        <v>6</v>
      </c>
      <c r="B2559" t="s">
        <v>130</v>
      </c>
      <c r="C2559" t="s">
        <v>1285</v>
      </c>
      <c r="D2559">
        <v>717493</v>
      </c>
      <c r="E2559" t="s">
        <v>10</v>
      </c>
      <c r="F2559">
        <v>48.815300000000001</v>
      </c>
      <c r="G2559">
        <v>-87.091700000000003</v>
      </c>
      <c r="H2559">
        <v>-5</v>
      </c>
      <c r="I2559">
        <v>289.60000000000002</v>
      </c>
      <c r="J2559" t="str">
        <f>HYPERLINK("https://climate.onebuilding.org/WMO_Region_4_North_and_Central_America/CAN_Canada/ON_Ontario/CAN_ON_Terrace.Bay.AP.717493_TMYx.zip")</f>
        <v>https://climate.onebuilding.org/WMO_Region_4_North_and_Central_America/CAN_Canada/ON_Ontario/CAN_ON_Terrace.Bay.AP.717493_TMYx.zip</v>
      </c>
    </row>
    <row r="2560" spans="1:10" x14ac:dyDescent="0.25">
      <c r="A2560" t="s">
        <v>6</v>
      </c>
      <c r="B2560" t="s">
        <v>130</v>
      </c>
      <c r="C2560" t="s">
        <v>1286</v>
      </c>
      <c r="D2560">
        <v>717500</v>
      </c>
      <c r="E2560" t="s">
        <v>1287</v>
      </c>
      <c r="F2560">
        <v>48.588299999999997</v>
      </c>
      <c r="G2560">
        <v>-86.294700000000006</v>
      </c>
      <c r="H2560">
        <v>-5</v>
      </c>
      <c r="I2560">
        <v>207.6</v>
      </c>
      <c r="J2560" t="str">
        <f>HYPERLINK("https://climate.onebuilding.org/WMO_Region_4_North_and_Central_America/CAN_Canada/ON_Ontario/CAN_ON_Pukaskwa.Natl.Park.717500_TMYx.2004-2018.zip")</f>
        <v>https://climate.onebuilding.org/WMO_Region_4_North_and_Central_America/CAN_Canada/ON_Ontario/CAN_ON_Pukaskwa.Natl.Park.717500_TMYx.2004-2018.zip</v>
      </c>
    </row>
    <row r="2561" spans="1:10" x14ac:dyDescent="0.25">
      <c r="A2561" t="s">
        <v>6</v>
      </c>
      <c r="B2561" t="s">
        <v>130</v>
      </c>
      <c r="C2561" t="s">
        <v>1286</v>
      </c>
      <c r="D2561">
        <v>717500</v>
      </c>
      <c r="E2561" t="s">
        <v>10</v>
      </c>
      <c r="F2561">
        <v>48.607779999999998</v>
      </c>
      <c r="G2561">
        <v>-86.287220000000005</v>
      </c>
      <c r="H2561">
        <v>-5</v>
      </c>
      <c r="I2561">
        <v>207.6</v>
      </c>
      <c r="J2561" t="str">
        <f>HYPERLINK("https://climate.onebuilding.org/WMO_Region_4_North_and_Central_America/CAN_Canada/ON_Ontario/CAN_ON_Pukaskwa.Natl.Park.717500_TMYx.2007-2021.zip")</f>
        <v>https://climate.onebuilding.org/WMO_Region_4_North_and_Central_America/CAN_Canada/ON_Ontario/CAN_ON_Pukaskwa.Natl.Park.717500_TMYx.2007-2021.zip</v>
      </c>
    </row>
    <row r="2562" spans="1:10" x14ac:dyDescent="0.25">
      <c r="A2562" t="s">
        <v>6</v>
      </c>
      <c r="B2562" t="s">
        <v>130</v>
      </c>
      <c r="C2562" t="s">
        <v>1286</v>
      </c>
      <c r="D2562">
        <v>717500</v>
      </c>
      <c r="E2562" t="s">
        <v>10</v>
      </c>
      <c r="F2562">
        <v>48.607779999999998</v>
      </c>
      <c r="G2562">
        <v>-86.287220000000005</v>
      </c>
      <c r="H2562">
        <v>-5</v>
      </c>
      <c r="I2562">
        <v>207.6</v>
      </c>
      <c r="J2562" t="str">
        <f>HYPERLINK("https://climate.onebuilding.org/WMO_Region_4_North_and_Central_America/CAN_Canada/ON_Ontario/CAN_ON_Pukaskwa.Natl.Park.717500_TMYx.2009-2023.zip")</f>
        <v>https://climate.onebuilding.org/WMO_Region_4_North_and_Central_America/CAN_Canada/ON_Ontario/CAN_ON_Pukaskwa.Natl.Park.717500_TMYx.2009-2023.zip</v>
      </c>
    </row>
    <row r="2563" spans="1:10" x14ac:dyDescent="0.25">
      <c r="A2563" t="s">
        <v>6</v>
      </c>
      <c r="B2563" t="s">
        <v>130</v>
      </c>
      <c r="C2563" t="s">
        <v>1286</v>
      </c>
      <c r="D2563">
        <v>717500</v>
      </c>
      <c r="E2563" t="s">
        <v>10</v>
      </c>
      <c r="F2563">
        <v>48.607779999999998</v>
      </c>
      <c r="G2563">
        <v>-86.287220000000005</v>
      </c>
      <c r="H2563">
        <v>-5</v>
      </c>
      <c r="I2563">
        <v>207.6</v>
      </c>
      <c r="J2563" t="str">
        <f>HYPERLINK("https://climate.onebuilding.org/WMO_Region_4_North_and_Central_America/CAN_Canada/ON_Ontario/CAN_ON_Pukaskwa.Natl.Park.717500_TMYx.zip")</f>
        <v>https://climate.onebuilding.org/WMO_Region_4_North_and_Central_America/CAN_Canada/ON_Ontario/CAN_ON_Pukaskwa.Natl.Park.717500_TMYx.zip</v>
      </c>
    </row>
    <row r="2564" spans="1:10" x14ac:dyDescent="0.25">
      <c r="A2564" t="s">
        <v>6</v>
      </c>
      <c r="B2564" t="s">
        <v>130</v>
      </c>
      <c r="C2564" t="s">
        <v>1288</v>
      </c>
      <c r="D2564">
        <v>717510</v>
      </c>
      <c r="E2564" t="s">
        <v>1289</v>
      </c>
      <c r="F2564">
        <v>48.369199999999999</v>
      </c>
      <c r="G2564">
        <v>-89.119500000000002</v>
      </c>
      <c r="H2564">
        <v>-5</v>
      </c>
      <c r="I2564">
        <v>211.4</v>
      </c>
      <c r="J2564" t="str">
        <f>HYPERLINK("https://climate.onebuilding.org/WMO_Region_4_North_and_Central_America/CAN_Canada/ON_Ontario/CAN_ON_Welcome.Island.Lighthouse.717510_TMYx.2004-2018.zip")</f>
        <v>https://climate.onebuilding.org/WMO_Region_4_North_and_Central_America/CAN_Canada/ON_Ontario/CAN_ON_Welcome.Island.Lighthouse.717510_TMYx.2004-2018.zip</v>
      </c>
    </row>
    <row r="2565" spans="1:10" x14ac:dyDescent="0.25">
      <c r="A2565" t="s">
        <v>6</v>
      </c>
      <c r="B2565" t="s">
        <v>130</v>
      </c>
      <c r="C2565" t="s">
        <v>1288</v>
      </c>
      <c r="D2565">
        <v>717510</v>
      </c>
      <c r="E2565" t="s">
        <v>10</v>
      </c>
      <c r="F2565">
        <v>48.369199999999999</v>
      </c>
      <c r="G2565">
        <v>-89.119500000000002</v>
      </c>
      <c r="H2565">
        <v>-5</v>
      </c>
      <c r="I2565">
        <v>211.4</v>
      </c>
      <c r="J2565" t="str">
        <f>HYPERLINK("https://climate.onebuilding.org/WMO_Region_4_North_and_Central_America/CAN_Canada/ON_Ontario/CAN_ON_Welcome.Island.Lighthouse.717510_TMYx.2007-2021.zip")</f>
        <v>https://climate.onebuilding.org/WMO_Region_4_North_and_Central_America/CAN_Canada/ON_Ontario/CAN_ON_Welcome.Island.Lighthouse.717510_TMYx.2007-2021.zip</v>
      </c>
    </row>
    <row r="2566" spans="1:10" x14ac:dyDescent="0.25">
      <c r="A2566" t="s">
        <v>6</v>
      </c>
      <c r="B2566" t="s">
        <v>130</v>
      </c>
      <c r="C2566" t="s">
        <v>1288</v>
      </c>
      <c r="D2566">
        <v>717510</v>
      </c>
      <c r="E2566" t="s">
        <v>10</v>
      </c>
      <c r="F2566">
        <v>48.369199999999999</v>
      </c>
      <c r="G2566">
        <v>-89.119500000000002</v>
      </c>
      <c r="H2566">
        <v>-5</v>
      </c>
      <c r="I2566">
        <v>211.4</v>
      </c>
      <c r="J2566" t="str">
        <f>HYPERLINK("https://climate.onebuilding.org/WMO_Region_4_North_and_Central_America/CAN_Canada/ON_Ontario/CAN_ON_Welcome.Island.Lighthouse.717510_TMYx.2009-2023.zip")</f>
        <v>https://climate.onebuilding.org/WMO_Region_4_North_and_Central_America/CAN_Canada/ON_Ontario/CAN_ON_Welcome.Island.Lighthouse.717510_TMYx.2009-2023.zip</v>
      </c>
    </row>
    <row r="2567" spans="1:10" x14ac:dyDescent="0.25">
      <c r="A2567" t="s">
        <v>6</v>
      </c>
      <c r="B2567" t="s">
        <v>130</v>
      </c>
      <c r="C2567" t="s">
        <v>1288</v>
      </c>
      <c r="D2567">
        <v>717510</v>
      </c>
      <c r="E2567" t="s">
        <v>10</v>
      </c>
      <c r="F2567">
        <v>48.369199999999999</v>
      </c>
      <c r="G2567">
        <v>-89.119500000000002</v>
      </c>
      <c r="H2567">
        <v>-5</v>
      </c>
      <c r="I2567">
        <v>211.4</v>
      </c>
      <c r="J2567" t="str">
        <f>HYPERLINK("https://climate.onebuilding.org/WMO_Region_4_North_and_Central_America/CAN_Canada/ON_Ontario/CAN_ON_Welcome.Island.Lighthouse.717510_TMYx.zip")</f>
        <v>https://climate.onebuilding.org/WMO_Region_4_North_and_Central_America/CAN_Canada/ON_Ontario/CAN_ON_Welcome.Island.Lighthouse.717510_TMYx.zip</v>
      </c>
    </row>
    <row r="2568" spans="1:10" x14ac:dyDescent="0.25">
      <c r="A2568" t="s">
        <v>6</v>
      </c>
      <c r="B2568" t="s">
        <v>130</v>
      </c>
      <c r="C2568" t="s">
        <v>1290</v>
      </c>
      <c r="D2568">
        <v>717520</v>
      </c>
      <c r="E2568" t="s">
        <v>1291</v>
      </c>
      <c r="F2568">
        <v>42.966700000000003</v>
      </c>
      <c r="G2568">
        <v>-79.333299999999994</v>
      </c>
      <c r="H2568">
        <v>-5</v>
      </c>
      <c r="I2568">
        <v>180</v>
      </c>
      <c r="J2568" t="str">
        <f>HYPERLINK("https://climate.onebuilding.org/WMO_Region_4_North_and_Central_America/CAN_Canada/ON_Ontario/CAN_ON_Welland-Niagara.Central-Rungeling.AP.717520_TMYx.2004-2018.zip")</f>
        <v>https://climate.onebuilding.org/WMO_Region_4_North_and_Central_America/CAN_Canada/ON_Ontario/CAN_ON_Welland-Niagara.Central-Rungeling.AP.717520_TMYx.2004-2018.zip</v>
      </c>
    </row>
    <row r="2569" spans="1:10" x14ac:dyDescent="0.25">
      <c r="A2569" t="s">
        <v>6</v>
      </c>
      <c r="B2569" t="s">
        <v>130</v>
      </c>
      <c r="C2569" t="s">
        <v>1290</v>
      </c>
      <c r="D2569">
        <v>717520</v>
      </c>
      <c r="E2569" t="s">
        <v>10</v>
      </c>
      <c r="F2569">
        <v>42.97334</v>
      </c>
      <c r="G2569">
        <v>-79.325000000000003</v>
      </c>
      <c r="H2569">
        <v>-5</v>
      </c>
      <c r="I2569">
        <v>180</v>
      </c>
      <c r="J2569" t="str">
        <f>HYPERLINK("https://climate.onebuilding.org/WMO_Region_4_North_and_Central_America/CAN_Canada/ON_Ontario/CAN_ON_Welland-Niagara.Central-Rungeling.AP.717520_TMYx.2007-2021.zip")</f>
        <v>https://climate.onebuilding.org/WMO_Region_4_North_and_Central_America/CAN_Canada/ON_Ontario/CAN_ON_Welland-Niagara.Central-Rungeling.AP.717520_TMYx.2007-2021.zip</v>
      </c>
    </row>
    <row r="2570" spans="1:10" x14ac:dyDescent="0.25">
      <c r="A2570" t="s">
        <v>6</v>
      </c>
      <c r="B2570" t="s">
        <v>130</v>
      </c>
      <c r="C2570" t="s">
        <v>1290</v>
      </c>
      <c r="D2570">
        <v>717520</v>
      </c>
      <c r="E2570" t="s">
        <v>10</v>
      </c>
      <c r="F2570">
        <v>42.97334</v>
      </c>
      <c r="G2570">
        <v>-79.325000000000003</v>
      </c>
      <c r="H2570">
        <v>-5</v>
      </c>
      <c r="I2570">
        <v>180</v>
      </c>
      <c r="J2570" t="str">
        <f>HYPERLINK("https://climate.onebuilding.org/WMO_Region_4_North_and_Central_America/CAN_Canada/ON_Ontario/CAN_ON_Welland-Niagara.Central-Rungeling.AP.717520_TMYx.2009-2023.zip")</f>
        <v>https://climate.onebuilding.org/WMO_Region_4_North_and_Central_America/CAN_Canada/ON_Ontario/CAN_ON_Welland-Niagara.Central-Rungeling.AP.717520_TMYx.2009-2023.zip</v>
      </c>
    </row>
    <row r="2571" spans="1:10" x14ac:dyDescent="0.25">
      <c r="A2571" t="s">
        <v>6</v>
      </c>
      <c r="B2571" t="s">
        <v>130</v>
      </c>
      <c r="C2571" t="s">
        <v>1290</v>
      </c>
      <c r="D2571">
        <v>717520</v>
      </c>
      <c r="E2571" t="s">
        <v>10</v>
      </c>
      <c r="F2571">
        <v>42.97334</v>
      </c>
      <c r="G2571">
        <v>-79.325000000000003</v>
      </c>
      <c r="H2571">
        <v>-5</v>
      </c>
      <c r="I2571">
        <v>180</v>
      </c>
      <c r="J2571" t="str">
        <f>HYPERLINK("https://climate.onebuilding.org/WMO_Region_4_North_and_Central_America/CAN_Canada/ON_Ontario/CAN_ON_Welland-Niagara.Central-Rungeling.AP.717520_TMYx.zip")</f>
        <v>https://climate.onebuilding.org/WMO_Region_4_North_and_Central_America/CAN_Canada/ON_Ontario/CAN_ON_Welland-Niagara.Central-Rungeling.AP.717520_TMYx.zip</v>
      </c>
    </row>
    <row r="2572" spans="1:10" x14ac:dyDescent="0.25">
      <c r="A2572" t="s">
        <v>6</v>
      </c>
      <c r="B2572" t="s">
        <v>68</v>
      </c>
      <c r="C2572" t="s">
        <v>1292</v>
      </c>
      <c r="D2572">
        <v>717530</v>
      </c>
      <c r="E2572" t="s">
        <v>1293</v>
      </c>
      <c r="F2572">
        <v>45.2331</v>
      </c>
      <c r="G2572">
        <v>-63.055300000000003</v>
      </c>
      <c r="H2572">
        <v>-4</v>
      </c>
      <c r="I2572">
        <v>24.5</v>
      </c>
      <c r="J2572" t="str">
        <f>HYPERLINK("https://climate.onebuilding.org/WMO_Region_4_North_and_Central_America/CAN_Canada/NS_Nova_Scotia/CAN_NS_Upper.Stewiacke.RCS.717530_TMYx.2004-2018.zip")</f>
        <v>https://climate.onebuilding.org/WMO_Region_4_North_and_Central_America/CAN_Canada/NS_Nova_Scotia/CAN_NS_Upper.Stewiacke.RCS.717530_TMYx.2004-2018.zip</v>
      </c>
    </row>
    <row r="2573" spans="1:10" x14ac:dyDescent="0.25">
      <c r="A2573" t="s">
        <v>6</v>
      </c>
      <c r="B2573" t="s">
        <v>68</v>
      </c>
      <c r="C2573" t="s">
        <v>1292</v>
      </c>
      <c r="D2573">
        <v>717530</v>
      </c>
      <c r="E2573" t="s">
        <v>10</v>
      </c>
      <c r="F2573">
        <v>45.232599999999998</v>
      </c>
      <c r="G2573">
        <v>-63.054600000000001</v>
      </c>
      <c r="H2573">
        <v>-4</v>
      </c>
      <c r="I2573">
        <v>24.5</v>
      </c>
      <c r="J2573" t="str">
        <f>HYPERLINK("https://climate.onebuilding.org/WMO_Region_4_North_and_Central_America/CAN_Canada/NS_Nova_Scotia/CAN_NS_Upper.Stewiacke.RCS.717530_TMYx.2007-2021.zip")</f>
        <v>https://climate.onebuilding.org/WMO_Region_4_North_and_Central_America/CAN_Canada/NS_Nova_Scotia/CAN_NS_Upper.Stewiacke.RCS.717530_TMYx.2007-2021.zip</v>
      </c>
    </row>
    <row r="2574" spans="1:10" x14ac:dyDescent="0.25">
      <c r="A2574" t="s">
        <v>6</v>
      </c>
      <c r="B2574" t="s">
        <v>68</v>
      </c>
      <c r="C2574" t="s">
        <v>1292</v>
      </c>
      <c r="D2574">
        <v>717530</v>
      </c>
      <c r="E2574" t="s">
        <v>10</v>
      </c>
      <c r="F2574">
        <v>45.232599999999998</v>
      </c>
      <c r="G2574">
        <v>-63.054600000000001</v>
      </c>
      <c r="H2574">
        <v>-4</v>
      </c>
      <c r="I2574">
        <v>24.5</v>
      </c>
      <c r="J2574" t="str">
        <f>HYPERLINK("https://climate.onebuilding.org/WMO_Region_4_North_and_Central_America/CAN_Canada/NS_Nova_Scotia/CAN_NS_Upper.Stewiacke.RCS.717530_TMYx.2009-2023.zip")</f>
        <v>https://climate.onebuilding.org/WMO_Region_4_North_and_Central_America/CAN_Canada/NS_Nova_Scotia/CAN_NS_Upper.Stewiacke.RCS.717530_TMYx.2009-2023.zip</v>
      </c>
    </row>
    <row r="2575" spans="1:10" x14ac:dyDescent="0.25">
      <c r="A2575" t="s">
        <v>6</v>
      </c>
      <c r="B2575" t="s">
        <v>68</v>
      </c>
      <c r="C2575" t="s">
        <v>1292</v>
      </c>
      <c r="D2575">
        <v>717530</v>
      </c>
      <c r="E2575" t="s">
        <v>10</v>
      </c>
      <c r="F2575">
        <v>45.232599999999998</v>
      </c>
      <c r="G2575">
        <v>-63.054600000000001</v>
      </c>
      <c r="H2575">
        <v>-4</v>
      </c>
      <c r="I2575">
        <v>24.5</v>
      </c>
      <c r="J2575" t="str">
        <f>HYPERLINK("https://climate.onebuilding.org/WMO_Region_4_North_and_Central_America/CAN_Canada/NS_Nova_Scotia/CAN_NS_Upper.Stewiacke.RCS.717530_TMYx.zip")</f>
        <v>https://climate.onebuilding.org/WMO_Region_4_North_and_Central_America/CAN_Canada/NS_Nova_Scotia/CAN_NS_Upper.Stewiacke.RCS.717530_TMYx.zip</v>
      </c>
    </row>
    <row r="2576" spans="1:10" x14ac:dyDescent="0.25">
      <c r="A2576" t="s">
        <v>6</v>
      </c>
      <c r="B2576" t="s">
        <v>58</v>
      </c>
      <c r="C2576" t="s">
        <v>1294</v>
      </c>
      <c r="D2576">
        <v>717540</v>
      </c>
      <c r="E2576" t="s">
        <v>10</v>
      </c>
      <c r="F2576">
        <v>52.771999999999998</v>
      </c>
      <c r="G2576">
        <v>-108.2556</v>
      </c>
      <c r="H2576">
        <v>-6</v>
      </c>
      <c r="I2576">
        <v>548</v>
      </c>
      <c r="J2576" t="str">
        <f>HYPERLINK("https://climate.onebuilding.org/WMO_Region_4_North_and_Central_America/CAN_Canada/SK_Saskatchewan/CAN_SK_North.Battleford.RCS.717540_TMYx.2007-2021.zip")</f>
        <v>https://climate.onebuilding.org/WMO_Region_4_North_and_Central_America/CAN_Canada/SK_Saskatchewan/CAN_SK_North.Battleford.RCS.717540_TMYx.2007-2021.zip</v>
      </c>
    </row>
    <row r="2577" spans="1:10" x14ac:dyDescent="0.25">
      <c r="A2577" t="s">
        <v>6</v>
      </c>
      <c r="B2577" t="s">
        <v>58</v>
      </c>
      <c r="C2577" t="s">
        <v>1294</v>
      </c>
      <c r="D2577">
        <v>717540</v>
      </c>
      <c r="E2577" t="s">
        <v>10</v>
      </c>
      <c r="F2577">
        <v>52.771999999999998</v>
      </c>
      <c r="G2577">
        <v>-108.2556</v>
      </c>
      <c r="H2577">
        <v>-6</v>
      </c>
      <c r="I2577">
        <v>548</v>
      </c>
      <c r="J2577" t="str">
        <f>HYPERLINK("https://climate.onebuilding.org/WMO_Region_4_North_and_Central_America/CAN_Canada/SK_Saskatchewan/CAN_SK_North.Battleford.RCS.717540_TMYx.2009-2023.zip")</f>
        <v>https://climate.onebuilding.org/WMO_Region_4_North_and_Central_America/CAN_Canada/SK_Saskatchewan/CAN_SK_North.Battleford.RCS.717540_TMYx.2009-2023.zip</v>
      </c>
    </row>
    <row r="2578" spans="1:10" x14ac:dyDescent="0.25">
      <c r="A2578" t="s">
        <v>6</v>
      </c>
      <c r="B2578" t="s">
        <v>58</v>
      </c>
      <c r="C2578" t="s">
        <v>1294</v>
      </c>
      <c r="D2578">
        <v>717540</v>
      </c>
      <c r="E2578" t="s">
        <v>10</v>
      </c>
      <c r="F2578">
        <v>52.771999999999998</v>
      </c>
      <c r="G2578">
        <v>-108.2556</v>
      </c>
      <c r="H2578">
        <v>-6</v>
      </c>
      <c r="I2578">
        <v>548</v>
      </c>
      <c r="J2578" t="str">
        <f>HYPERLINK("https://climate.onebuilding.org/WMO_Region_4_North_and_Central_America/CAN_Canada/SK_Saskatchewan/CAN_SK_North.Battleford.RCS.717540_TMYx.zip")</f>
        <v>https://climate.onebuilding.org/WMO_Region_4_North_and_Central_America/CAN_Canada/SK_Saskatchewan/CAN_SK_North.Battleford.RCS.717540_TMYx.zip</v>
      </c>
    </row>
    <row r="2579" spans="1:10" x14ac:dyDescent="0.25">
      <c r="A2579" t="s">
        <v>6</v>
      </c>
      <c r="B2579" t="s">
        <v>55</v>
      </c>
      <c r="C2579" t="s">
        <v>1295</v>
      </c>
      <c r="D2579">
        <v>717560</v>
      </c>
      <c r="E2579" t="s">
        <v>1296</v>
      </c>
      <c r="F2579">
        <v>50.102499999999999</v>
      </c>
      <c r="G2579">
        <v>-122.93640000000001</v>
      </c>
      <c r="H2579">
        <v>-8</v>
      </c>
      <c r="I2579">
        <v>937</v>
      </c>
      <c r="J2579" t="str">
        <f>HYPERLINK("https://climate.onebuilding.org/WMO_Region_4_North_and_Central_America/CAN_Canada/BC_British_Columbia/CAN_BC_Blackcomb.Base.Sliding.Centre.717560_TMYx.2004-2018.zip")</f>
        <v>https://climate.onebuilding.org/WMO_Region_4_North_and_Central_America/CAN_Canada/BC_British_Columbia/CAN_BC_Blackcomb.Base.Sliding.Centre.717560_TMYx.2004-2018.zip</v>
      </c>
    </row>
    <row r="2580" spans="1:10" x14ac:dyDescent="0.25">
      <c r="A2580" t="s">
        <v>6</v>
      </c>
      <c r="B2580" t="s">
        <v>55</v>
      </c>
      <c r="C2580" t="s">
        <v>1295</v>
      </c>
      <c r="D2580">
        <v>717560</v>
      </c>
      <c r="E2580" t="s">
        <v>10</v>
      </c>
      <c r="F2580">
        <v>50.102499999999999</v>
      </c>
      <c r="G2580">
        <v>-122.93640000000001</v>
      </c>
      <c r="H2580">
        <v>-8</v>
      </c>
      <c r="I2580">
        <v>937</v>
      </c>
      <c r="J2580" t="str">
        <f>HYPERLINK("https://climate.onebuilding.org/WMO_Region_4_North_and_Central_America/CAN_Canada/BC_British_Columbia/CAN_BC_Blackcomb.Base.Sliding.Centre.717560_TMYx.2007-2021.zip")</f>
        <v>https://climate.onebuilding.org/WMO_Region_4_North_and_Central_America/CAN_Canada/BC_British_Columbia/CAN_BC_Blackcomb.Base.Sliding.Centre.717560_TMYx.2007-2021.zip</v>
      </c>
    </row>
    <row r="2581" spans="1:10" x14ac:dyDescent="0.25">
      <c r="A2581" t="s">
        <v>6</v>
      </c>
      <c r="B2581" t="s">
        <v>55</v>
      </c>
      <c r="C2581" t="s">
        <v>1295</v>
      </c>
      <c r="D2581">
        <v>717560</v>
      </c>
      <c r="E2581" t="s">
        <v>10</v>
      </c>
      <c r="F2581">
        <v>50.102499999999999</v>
      </c>
      <c r="G2581">
        <v>-122.93640000000001</v>
      </c>
      <c r="H2581">
        <v>-8</v>
      </c>
      <c r="I2581">
        <v>937</v>
      </c>
      <c r="J2581" t="str">
        <f>HYPERLINK("https://climate.onebuilding.org/WMO_Region_4_North_and_Central_America/CAN_Canada/BC_British_Columbia/CAN_BC_Blackcomb.Base.Sliding.Centre.717560_TMYx.2009-2023.zip")</f>
        <v>https://climate.onebuilding.org/WMO_Region_4_North_and_Central_America/CAN_Canada/BC_British_Columbia/CAN_BC_Blackcomb.Base.Sliding.Centre.717560_TMYx.2009-2023.zip</v>
      </c>
    </row>
    <row r="2582" spans="1:10" x14ac:dyDescent="0.25">
      <c r="A2582" t="s">
        <v>6</v>
      </c>
      <c r="B2582" t="s">
        <v>55</v>
      </c>
      <c r="C2582" t="s">
        <v>1295</v>
      </c>
      <c r="D2582">
        <v>717560</v>
      </c>
      <c r="E2582" t="s">
        <v>10</v>
      </c>
      <c r="F2582">
        <v>50.102499999999999</v>
      </c>
      <c r="G2582">
        <v>-122.93640000000001</v>
      </c>
      <c r="H2582">
        <v>-8</v>
      </c>
      <c r="I2582">
        <v>937</v>
      </c>
      <c r="J2582" t="str">
        <f>HYPERLINK("https://climate.onebuilding.org/WMO_Region_4_North_and_Central_America/CAN_Canada/BC_British_Columbia/CAN_BC_Blackcomb.Base.Sliding.Centre.717560_TMYx.zip")</f>
        <v>https://climate.onebuilding.org/WMO_Region_4_North_and_Central_America/CAN_Canada/BC_British_Columbia/CAN_BC_Blackcomb.Base.Sliding.Centre.717560_TMYx.zip</v>
      </c>
    </row>
    <row r="2583" spans="1:10" x14ac:dyDescent="0.25">
      <c r="A2583" t="s">
        <v>6</v>
      </c>
      <c r="B2583" t="s">
        <v>55</v>
      </c>
      <c r="C2583" t="s">
        <v>1297</v>
      </c>
      <c r="D2583">
        <v>717600</v>
      </c>
      <c r="E2583" t="s">
        <v>10</v>
      </c>
      <c r="F2583">
        <v>51.27</v>
      </c>
      <c r="G2583">
        <v>-123.1</v>
      </c>
      <c r="H2583">
        <v>-8</v>
      </c>
      <c r="I2583">
        <v>1670</v>
      </c>
      <c r="J2583" t="str">
        <f>HYPERLINK("https://climate.onebuilding.org/WMO_Region_4_North_and_Central_America/CAN_Canada/BC_British_Columbia/CAN_BC_Big.Creek.717600_TMYx.zip")</f>
        <v>https://climate.onebuilding.org/WMO_Region_4_North_and_Central_America/CAN_Canada/BC_British_Columbia/CAN_BC_Big.Creek.717600_TMYx.zip</v>
      </c>
    </row>
    <row r="2584" spans="1:10" x14ac:dyDescent="0.25">
      <c r="A2584" t="s">
        <v>6</v>
      </c>
      <c r="B2584" t="s">
        <v>17</v>
      </c>
      <c r="C2584" t="s">
        <v>1298</v>
      </c>
      <c r="D2584">
        <v>717610</v>
      </c>
      <c r="E2584" t="s">
        <v>1299</v>
      </c>
      <c r="F2584">
        <v>54.13</v>
      </c>
      <c r="G2584">
        <v>-111.92140000000001</v>
      </c>
      <c r="H2584">
        <v>-7</v>
      </c>
      <c r="I2584">
        <v>645</v>
      </c>
      <c r="J2584" t="str">
        <f>HYPERLINK("https://climate.onebuilding.org/WMO_Region_4_North_and_Central_America/CAN_Canada/AB_Alberta/CAN_AB_Vilna.AgCM.717610_TMYx.2004-2018.zip")</f>
        <v>https://climate.onebuilding.org/WMO_Region_4_North_and_Central_America/CAN_Canada/AB_Alberta/CAN_AB_Vilna.AgCM.717610_TMYx.2004-2018.zip</v>
      </c>
    </row>
    <row r="2585" spans="1:10" x14ac:dyDescent="0.25">
      <c r="A2585" t="s">
        <v>6</v>
      </c>
      <c r="B2585" t="s">
        <v>17</v>
      </c>
      <c r="C2585" t="s">
        <v>1298</v>
      </c>
      <c r="D2585">
        <v>717610</v>
      </c>
      <c r="E2585" t="s">
        <v>10</v>
      </c>
      <c r="F2585">
        <v>54.13</v>
      </c>
      <c r="G2585">
        <v>-111.92140000000001</v>
      </c>
      <c r="H2585">
        <v>-7</v>
      </c>
      <c r="I2585">
        <v>645</v>
      </c>
      <c r="J2585" t="str">
        <f>HYPERLINK("https://climate.onebuilding.org/WMO_Region_4_North_and_Central_America/CAN_Canada/AB_Alberta/CAN_AB_Vilna.AgCM.717610_TMYx.2007-2021.zip")</f>
        <v>https://climate.onebuilding.org/WMO_Region_4_North_and_Central_America/CAN_Canada/AB_Alberta/CAN_AB_Vilna.AgCM.717610_TMYx.2007-2021.zip</v>
      </c>
    </row>
    <row r="2586" spans="1:10" x14ac:dyDescent="0.25">
      <c r="A2586" t="s">
        <v>6</v>
      </c>
      <c r="B2586" t="s">
        <v>17</v>
      </c>
      <c r="C2586" t="s">
        <v>1298</v>
      </c>
      <c r="D2586">
        <v>717610</v>
      </c>
      <c r="E2586" t="s">
        <v>10</v>
      </c>
      <c r="F2586">
        <v>54.13</v>
      </c>
      <c r="G2586">
        <v>-111.92140000000001</v>
      </c>
      <c r="H2586">
        <v>-7</v>
      </c>
      <c r="I2586">
        <v>645</v>
      </c>
      <c r="J2586" t="str">
        <f>HYPERLINK("https://climate.onebuilding.org/WMO_Region_4_North_and_Central_America/CAN_Canada/AB_Alberta/CAN_AB_Vilna.AgCM.717610_TMYx.2009-2023.zip")</f>
        <v>https://climate.onebuilding.org/WMO_Region_4_North_and_Central_America/CAN_Canada/AB_Alberta/CAN_AB_Vilna.AgCM.717610_TMYx.2009-2023.zip</v>
      </c>
    </row>
    <row r="2587" spans="1:10" x14ac:dyDescent="0.25">
      <c r="A2587" t="s">
        <v>6</v>
      </c>
      <c r="B2587" t="s">
        <v>17</v>
      </c>
      <c r="C2587" t="s">
        <v>1298</v>
      </c>
      <c r="D2587">
        <v>717610</v>
      </c>
      <c r="E2587" t="s">
        <v>10</v>
      </c>
      <c r="F2587">
        <v>54.13</v>
      </c>
      <c r="G2587">
        <v>-111.92140000000001</v>
      </c>
      <c r="H2587">
        <v>-7</v>
      </c>
      <c r="I2587">
        <v>645</v>
      </c>
      <c r="J2587" t="str">
        <f>HYPERLINK("https://climate.onebuilding.org/WMO_Region_4_North_and_Central_America/CAN_Canada/AB_Alberta/CAN_AB_Vilna.AgCM.717610_TMYx.zip")</f>
        <v>https://climate.onebuilding.org/WMO_Region_4_North_and_Central_America/CAN_Canada/AB_Alberta/CAN_AB_Vilna.AgCM.717610_TMYx.zip</v>
      </c>
    </row>
    <row r="2588" spans="1:10" x14ac:dyDescent="0.25">
      <c r="A2588" t="s">
        <v>6</v>
      </c>
      <c r="B2588" t="s">
        <v>55</v>
      </c>
      <c r="C2588" t="s">
        <v>1300</v>
      </c>
      <c r="D2588">
        <v>717650</v>
      </c>
      <c r="E2588" t="s">
        <v>1301</v>
      </c>
      <c r="F2588">
        <v>50.224499999999999</v>
      </c>
      <c r="G2588">
        <v>-121.5819</v>
      </c>
      <c r="H2588">
        <v>-8</v>
      </c>
      <c r="I2588">
        <v>225</v>
      </c>
      <c r="J2588" t="str">
        <f>HYPERLINK("https://climate.onebuilding.org/WMO_Region_4_North_and_Central_America/CAN_Canada/BC_British_Columbia/CAN_BC_Lytton.RCS.717650_TMYx.2004-2018.zip")</f>
        <v>https://climate.onebuilding.org/WMO_Region_4_North_and_Central_America/CAN_Canada/BC_British_Columbia/CAN_BC_Lytton.RCS.717650_TMYx.2004-2018.zip</v>
      </c>
    </row>
    <row r="2589" spans="1:10" x14ac:dyDescent="0.25">
      <c r="A2589" t="s">
        <v>6</v>
      </c>
      <c r="B2589" t="s">
        <v>55</v>
      </c>
      <c r="C2589" t="s">
        <v>1300</v>
      </c>
      <c r="D2589">
        <v>717650</v>
      </c>
      <c r="E2589" t="s">
        <v>10</v>
      </c>
      <c r="F2589">
        <v>50.224499999999999</v>
      </c>
      <c r="G2589">
        <v>-121.5819</v>
      </c>
      <c r="H2589">
        <v>-8</v>
      </c>
      <c r="I2589">
        <v>225</v>
      </c>
      <c r="J2589" t="str">
        <f>HYPERLINK("https://climate.onebuilding.org/WMO_Region_4_North_and_Central_America/CAN_Canada/BC_British_Columbia/CAN_BC_Lytton.RCS.717650_TMYx.2007-2021.zip")</f>
        <v>https://climate.onebuilding.org/WMO_Region_4_North_and_Central_America/CAN_Canada/BC_British_Columbia/CAN_BC_Lytton.RCS.717650_TMYx.2007-2021.zip</v>
      </c>
    </row>
    <row r="2590" spans="1:10" x14ac:dyDescent="0.25">
      <c r="A2590" t="s">
        <v>6</v>
      </c>
      <c r="B2590" t="s">
        <v>55</v>
      </c>
      <c r="C2590" t="s">
        <v>1300</v>
      </c>
      <c r="D2590">
        <v>717650</v>
      </c>
      <c r="E2590" t="s">
        <v>10</v>
      </c>
      <c r="F2590">
        <v>50.224499999999999</v>
      </c>
      <c r="G2590">
        <v>-121.5819</v>
      </c>
      <c r="H2590">
        <v>-8</v>
      </c>
      <c r="I2590">
        <v>225</v>
      </c>
      <c r="J2590" t="str">
        <f>HYPERLINK("https://climate.onebuilding.org/WMO_Region_4_North_and_Central_America/CAN_Canada/BC_British_Columbia/CAN_BC_Lytton.RCS.717650_TMYx.2009-2023.zip")</f>
        <v>https://climate.onebuilding.org/WMO_Region_4_North_and_Central_America/CAN_Canada/BC_British_Columbia/CAN_BC_Lytton.RCS.717650_TMYx.2009-2023.zip</v>
      </c>
    </row>
    <row r="2591" spans="1:10" x14ac:dyDescent="0.25">
      <c r="A2591" t="s">
        <v>6</v>
      </c>
      <c r="B2591" t="s">
        <v>55</v>
      </c>
      <c r="C2591" t="s">
        <v>1300</v>
      </c>
      <c r="D2591">
        <v>717650</v>
      </c>
      <c r="E2591" t="s">
        <v>10</v>
      </c>
      <c r="F2591">
        <v>50.224499999999999</v>
      </c>
      <c r="G2591">
        <v>-121.5819</v>
      </c>
      <c r="H2591">
        <v>-8</v>
      </c>
      <c r="I2591">
        <v>225</v>
      </c>
      <c r="J2591" t="str">
        <f>HYPERLINK("https://climate.onebuilding.org/WMO_Region_4_North_and_Central_America/CAN_Canada/BC_British_Columbia/CAN_BC_Lytton.RCS.717650_TMYx.zip")</f>
        <v>https://climate.onebuilding.org/WMO_Region_4_North_and_Central_America/CAN_Canada/BC_British_Columbia/CAN_BC_Lytton.RCS.717650_TMYx.zip</v>
      </c>
    </row>
    <row r="2592" spans="1:10" x14ac:dyDescent="0.25">
      <c r="A2592" t="s">
        <v>6</v>
      </c>
      <c r="B2592" t="s">
        <v>55</v>
      </c>
      <c r="C2592" t="s">
        <v>1302</v>
      </c>
      <c r="D2592">
        <v>717660</v>
      </c>
      <c r="E2592" t="s">
        <v>1303</v>
      </c>
      <c r="F2592">
        <v>49.337200000000003</v>
      </c>
      <c r="G2592">
        <v>-124.3939</v>
      </c>
      <c r="H2592">
        <v>-8</v>
      </c>
      <c r="I2592">
        <v>58.2</v>
      </c>
      <c r="J2592" t="str">
        <f>HYPERLINK("https://climate.onebuilding.org/WMO_Region_4_North_and_Central_America/CAN_Canada/BC_British_Columbia/CAN_BC_Qualicum.Beach.AP.717660_TMYx.2004-2018.zip")</f>
        <v>https://climate.onebuilding.org/WMO_Region_4_North_and_Central_America/CAN_Canada/BC_British_Columbia/CAN_BC_Qualicum.Beach.AP.717660_TMYx.2004-2018.zip</v>
      </c>
    </row>
    <row r="2593" spans="1:10" x14ac:dyDescent="0.25">
      <c r="A2593" t="s">
        <v>6</v>
      </c>
      <c r="B2593" t="s">
        <v>55</v>
      </c>
      <c r="C2593" t="s">
        <v>1302</v>
      </c>
      <c r="D2593">
        <v>717660</v>
      </c>
      <c r="E2593" t="s">
        <v>10</v>
      </c>
      <c r="F2593">
        <v>49.337200000000003</v>
      </c>
      <c r="G2593">
        <v>-124.3939</v>
      </c>
      <c r="H2593">
        <v>-8</v>
      </c>
      <c r="I2593">
        <v>58.2</v>
      </c>
      <c r="J2593" t="str">
        <f>HYPERLINK("https://climate.onebuilding.org/WMO_Region_4_North_and_Central_America/CAN_Canada/BC_British_Columbia/CAN_BC_Qualicum.Beach.AP.717660_TMYx.2007-2021.zip")</f>
        <v>https://climate.onebuilding.org/WMO_Region_4_North_and_Central_America/CAN_Canada/BC_British_Columbia/CAN_BC_Qualicum.Beach.AP.717660_TMYx.2007-2021.zip</v>
      </c>
    </row>
    <row r="2594" spans="1:10" x14ac:dyDescent="0.25">
      <c r="A2594" t="s">
        <v>6</v>
      </c>
      <c r="B2594" t="s">
        <v>55</v>
      </c>
      <c r="C2594" t="s">
        <v>1302</v>
      </c>
      <c r="D2594">
        <v>717660</v>
      </c>
      <c r="E2594" t="s">
        <v>10</v>
      </c>
      <c r="F2594">
        <v>49.337200000000003</v>
      </c>
      <c r="G2594">
        <v>-124.3939</v>
      </c>
      <c r="H2594">
        <v>-8</v>
      </c>
      <c r="I2594">
        <v>58.2</v>
      </c>
      <c r="J2594" t="str">
        <f>HYPERLINK("https://climate.onebuilding.org/WMO_Region_4_North_and_Central_America/CAN_Canada/BC_British_Columbia/CAN_BC_Qualicum.Beach.AP.717660_TMYx.2009-2023.zip")</f>
        <v>https://climate.onebuilding.org/WMO_Region_4_North_and_Central_America/CAN_Canada/BC_British_Columbia/CAN_BC_Qualicum.Beach.AP.717660_TMYx.2009-2023.zip</v>
      </c>
    </row>
    <row r="2595" spans="1:10" x14ac:dyDescent="0.25">
      <c r="A2595" t="s">
        <v>6</v>
      </c>
      <c r="B2595" t="s">
        <v>55</v>
      </c>
      <c r="C2595" t="s">
        <v>1302</v>
      </c>
      <c r="D2595">
        <v>717660</v>
      </c>
      <c r="E2595" t="s">
        <v>10</v>
      </c>
      <c r="F2595">
        <v>49.337200000000003</v>
      </c>
      <c r="G2595">
        <v>-124.3939</v>
      </c>
      <c r="H2595">
        <v>-8</v>
      </c>
      <c r="I2595">
        <v>58.2</v>
      </c>
      <c r="J2595" t="str">
        <f>HYPERLINK("https://climate.onebuilding.org/WMO_Region_4_North_and_Central_America/CAN_Canada/BC_British_Columbia/CAN_BC_Qualicum.Beach.AP.717660_TMYx.zip")</f>
        <v>https://climate.onebuilding.org/WMO_Region_4_North_and_Central_America/CAN_Canada/BC_British_Columbia/CAN_BC_Qualicum.Beach.AP.717660_TMYx.zip</v>
      </c>
    </row>
    <row r="2596" spans="1:10" x14ac:dyDescent="0.25">
      <c r="A2596" t="s">
        <v>6</v>
      </c>
      <c r="B2596" t="s">
        <v>130</v>
      </c>
      <c r="C2596" t="s">
        <v>1304</v>
      </c>
      <c r="D2596">
        <v>717670</v>
      </c>
      <c r="E2596" t="s">
        <v>1305</v>
      </c>
      <c r="F2596">
        <v>45.223889999999997</v>
      </c>
      <c r="G2596">
        <v>-81.634990000000002</v>
      </c>
      <c r="H2596">
        <v>-5</v>
      </c>
      <c r="I2596">
        <v>213.5</v>
      </c>
      <c r="J2596" t="str">
        <f>HYPERLINK("https://climate.onebuilding.org/WMO_Region_4_North_and_Central_America/CAN_Canada/ON_Ontario/CAN_ON_Tobermory.RCS.717670_TMYx.2004-2018.zip")</f>
        <v>https://climate.onebuilding.org/WMO_Region_4_North_and_Central_America/CAN_Canada/ON_Ontario/CAN_ON_Tobermory.RCS.717670_TMYx.2004-2018.zip</v>
      </c>
    </row>
    <row r="2597" spans="1:10" x14ac:dyDescent="0.25">
      <c r="A2597" t="s">
        <v>6</v>
      </c>
      <c r="B2597" t="s">
        <v>130</v>
      </c>
      <c r="C2597" t="s">
        <v>1304</v>
      </c>
      <c r="D2597">
        <v>717670</v>
      </c>
      <c r="E2597" t="s">
        <v>10</v>
      </c>
      <c r="F2597">
        <v>45.223889999999997</v>
      </c>
      <c r="G2597">
        <v>-81.634990000000002</v>
      </c>
      <c r="H2597">
        <v>-5</v>
      </c>
      <c r="I2597">
        <v>213.5</v>
      </c>
      <c r="J2597" t="str">
        <f>HYPERLINK("https://climate.onebuilding.org/WMO_Region_4_North_and_Central_America/CAN_Canada/ON_Ontario/CAN_ON_Tobermory.RCS.717670_TMYx.2007-2021.zip")</f>
        <v>https://climate.onebuilding.org/WMO_Region_4_North_and_Central_America/CAN_Canada/ON_Ontario/CAN_ON_Tobermory.RCS.717670_TMYx.2007-2021.zip</v>
      </c>
    </row>
    <row r="2598" spans="1:10" x14ac:dyDescent="0.25">
      <c r="A2598" t="s">
        <v>6</v>
      </c>
      <c r="B2598" t="s">
        <v>130</v>
      </c>
      <c r="C2598" t="s">
        <v>1304</v>
      </c>
      <c r="D2598">
        <v>717670</v>
      </c>
      <c r="E2598" t="s">
        <v>10</v>
      </c>
      <c r="F2598">
        <v>45.223889999999997</v>
      </c>
      <c r="G2598">
        <v>-81.634990000000002</v>
      </c>
      <c r="H2598">
        <v>-5</v>
      </c>
      <c r="I2598">
        <v>213.5</v>
      </c>
      <c r="J2598" t="str">
        <f>HYPERLINK("https://climate.onebuilding.org/WMO_Region_4_North_and_Central_America/CAN_Canada/ON_Ontario/CAN_ON_Tobermory.RCS.717670_TMYx.2009-2023.zip")</f>
        <v>https://climate.onebuilding.org/WMO_Region_4_North_and_Central_America/CAN_Canada/ON_Ontario/CAN_ON_Tobermory.RCS.717670_TMYx.2009-2023.zip</v>
      </c>
    </row>
    <row r="2599" spans="1:10" x14ac:dyDescent="0.25">
      <c r="A2599" t="s">
        <v>6</v>
      </c>
      <c r="B2599" t="s">
        <v>130</v>
      </c>
      <c r="C2599" t="s">
        <v>1304</v>
      </c>
      <c r="D2599">
        <v>717670</v>
      </c>
      <c r="E2599" t="s">
        <v>10</v>
      </c>
      <c r="F2599">
        <v>45.223889999999997</v>
      </c>
      <c r="G2599">
        <v>-81.634990000000002</v>
      </c>
      <c r="H2599">
        <v>-5</v>
      </c>
      <c r="I2599">
        <v>213.5</v>
      </c>
      <c r="J2599" t="str">
        <f>HYPERLINK("https://climate.onebuilding.org/WMO_Region_4_North_and_Central_America/CAN_Canada/ON_Ontario/CAN_ON_Tobermory.RCS.717670_TMYx.zip")</f>
        <v>https://climate.onebuilding.org/WMO_Region_4_North_and_Central_America/CAN_Canada/ON_Ontario/CAN_ON_Tobermory.RCS.717670_TMYx.zip</v>
      </c>
    </row>
    <row r="2600" spans="1:10" x14ac:dyDescent="0.25">
      <c r="A2600" t="s">
        <v>6</v>
      </c>
      <c r="B2600" t="s">
        <v>55</v>
      </c>
      <c r="C2600" t="s">
        <v>1306</v>
      </c>
      <c r="D2600">
        <v>717680</v>
      </c>
      <c r="E2600" t="s">
        <v>1307</v>
      </c>
      <c r="F2600">
        <v>49.5625</v>
      </c>
      <c r="G2600">
        <v>-119.6486</v>
      </c>
      <c r="H2600">
        <v>-8</v>
      </c>
      <c r="I2600">
        <v>455.7</v>
      </c>
      <c r="J2600" t="str">
        <f>HYPERLINK("https://climate.onebuilding.org/WMO_Region_4_North_and_Central_America/CAN_Canada/BC_British_Columbia/CAN_BC_Summerland.CS.717680_TMYx.2004-2018.zip")</f>
        <v>https://climate.onebuilding.org/WMO_Region_4_North_and_Central_America/CAN_Canada/BC_British_Columbia/CAN_BC_Summerland.CS.717680_TMYx.2004-2018.zip</v>
      </c>
    </row>
    <row r="2601" spans="1:10" x14ac:dyDescent="0.25">
      <c r="A2601" t="s">
        <v>6</v>
      </c>
      <c r="B2601" t="s">
        <v>55</v>
      </c>
      <c r="C2601" t="s">
        <v>1306</v>
      </c>
      <c r="D2601">
        <v>717680</v>
      </c>
      <c r="E2601" t="s">
        <v>10</v>
      </c>
      <c r="F2601">
        <v>49.5625</v>
      </c>
      <c r="G2601">
        <v>-119.64870000000001</v>
      </c>
      <c r="H2601">
        <v>-8</v>
      </c>
      <c r="I2601">
        <v>455.7</v>
      </c>
      <c r="J2601" t="str">
        <f>HYPERLINK("https://climate.onebuilding.org/WMO_Region_4_North_and_Central_America/CAN_Canada/BC_British_Columbia/CAN_BC_Summerland.CS.717680_TMYx.2007-2021.zip")</f>
        <v>https://climate.onebuilding.org/WMO_Region_4_North_and_Central_America/CAN_Canada/BC_British_Columbia/CAN_BC_Summerland.CS.717680_TMYx.2007-2021.zip</v>
      </c>
    </row>
    <row r="2602" spans="1:10" x14ac:dyDescent="0.25">
      <c r="A2602" t="s">
        <v>6</v>
      </c>
      <c r="B2602" t="s">
        <v>55</v>
      </c>
      <c r="C2602" t="s">
        <v>1306</v>
      </c>
      <c r="D2602">
        <v>717680</v>
      </c>
      <c r="E2602" t="s">
        <v>10</v>
      </c>
      <c r="F2602">
        <v>49.5625</v>
      </c>
      <c r="G2602">
        <v>-119.64870000000001</v>
      </c>
      <c r="H2602">
        <v>-8</v>
      </c>
      <c r="I2602">
        <v>455.7</v>
      </c>
      <c r="J2602" t="str">
        <f>HYPERLINK("https://climate.onebuilding.org/WMO_Region_4_North_and_Central_America/CAN_Canada/BC_British_Columbia/CAN_BC_Summerland.CS.717680_TMYx.2009-2023.zip")</f>
        <v>https://climate.onebuilding.org/WMO_Region_4_North_and_Central_America/CAN_Canada/BC_British_Columbia/CAN_BC_Summerland.CS.717680_TMYx.2009-2023.zip</v>
      </c>
    </row>
    <row r="2603" spans="1:10" x14ac:dyDescent="0.25">
      <c r="A2603" t="s">
        <v>6</v>
      </c>
      <c r="B2603" t="s">
        <v>55</v>
      </c>
      <c r="C2603" t="s">
        <v>1306</v>
      </c>
      <c r="D2603">
        <v>717680</v>
      </c>
      <c r="E2603" t="s">
        <v>10</v>
      </c>
      <c r="F2603">
        <v>49.5625</v>
      </c>
      <c r="G2603">
        <v>-119.64870000000001</v>
      </c>
      <c r="H2603">
        <v>-8</v>
      </c>
      <c r="I2603">
        <v>455.7</v>
      </c>
      <c r="J2603" t="str">
        <f>HYPERLINK("https://climate.onebuilding.org/WMO_Region_4_North_and_Central_America/CAN_Canada/BC_British_Columbia/CAN_BC_Summerland.CS.717680_TMYx.zip")</f>
        <v>https://climate.onebuilding.org/WMO_Region_4_North_and_Central_America/CAN_Canada/BC_British_Columbia/CAN_BC_Summerland.CS.717680_TMYx.zip</v>
      </c>
    </row>
    <row r="2604" spans="1:10" x14ac:dyDescent="0.25">
      <c r="A2604" t="s">
        <v>6</v>
      </c>
      <c r="B2604" t="s">
        <v>55</v>
      </c>
      <c r="C2604" t="s">
        <v>1308</v>
      </c>
      <c r="D2604">
        <v>717690</v>
      </c>
      <c r="E2604" t="s">
        <v>1309</v>
      </c>
      <c r="F2604">
        <v>49.350299999999997</v>
      </c>
      <c r="G2604">
        <v>-124.16030000000001</v>
      </c>
      <c r="H2604">
        <v>-8</v>
      </c>
      <c r="I2604">
        <v>10</v>
      </c>
      <c r="J2604" t="str">
        <f>HYPERLINK("https://climate.onebuilding.org/WMO_Region_4_North_and_Central_America/CAN_Canada/BC_British_Columbia/CAN_BC_Ballenas.Island.717690_TMYx.2004-2018.zip")</f>
        <v>https://climate.onebuilding.org/WMO_Region_4_North_and_Central_America/CAN_Canada/BC_British_Columbia/CAN_BC_Ballenas.Island.717690_TMYx.2004-2018.zip</v>
      </c>
    </row>
    <row r="2605" spans="1:10" x14ac:dyDescent="0.25">
      <c r="A2605" t="s">
        <v>6</v>
      </c>
      <c r="B2605" t="s">
        <v>55</v>
      </c>
      <c r="C2605" t="s">
        <v>1308</v>
      </c>
      <c r="D2605">
        <v>717690</v>
      </c>
      <c r="E2605" t="s">
        <v>10</v>
      </c>
      <c r="F2605">
        <v>49.350299999999997</v>
      </c>
      <c r="G2605">
        <v>-124.16030000000001</v>
      </c>
      <c r="H2605">
        <v>-8</v>
      </c>
      <c r="I2605">
        <v>10</v>
      </c>
      <c r="J2605" t="str">
        <f>HYPERLINK("https://climate.onebuilding.org/WMO_Region_4_North_and_Central_America/CAN_Canada/BC_British_Columbia/CAN_BC_Ballenas.Island.717690_TMYx.2007-2021.zip")</f>
        <v>https://climate.onebuilding.org/WMO_Region_4_North_and_Central_America/CAN_Canada/BC_British_Columbia/CAN_BC_Ballenas.Island.717690_TMYx.2007-2021.zip</v>
      </c>
    </row>
    <row r="2606" spans="1:10" x14ac:dyDescent="0.25">
      <c r="A2606" t="s">
        <v>6</v>
      </c>
      <c r="B2606" t="s">
        <v>55</v>
      </c>
      <c r="C2606" t="s">
        <v>1308</v>
      </c>
      <c r="D2606">
        <v>717690</v>
      </c>
      <c r="E2606" t="s">
        <v>10</v>
      </c>
      <c r="F2606">
        <v>49.350299999999997</v>
      </c>
      <c r="G2606">
        <v>-124.16030000000001</v>
      </c>
      <c r="H2606">
        <v>-8</v>
      </c>
      <c r="I2606">
        <v>10</v>
      </c>
      <c r="J2606" t="str">
        <f>HYPERLINK("https://climate.onebuilding.org/WMO_Region_4_North_and_Central_America/CAN_Canada/BC_British_Columbia/CAN_BC_Ballenas.Island.717690_TMYx.2009-2023.zip")</f>
        <v>https://climate.onebuilding.org/WMO_Region_4_North_and_Central_America/CAN_Canada/BC_British_Columbia/CAN_BC_Ballenas.Island.717690_TMYx.2009-2023.zip</v>
      </c>
    </row>
    <row r="2607" spans="1:10" x14ac:dyDescent="0.25">
      <c r="A2607" t="s">
        <v>6</v>
      </c>
      <c r="B2607" t="s">
        <v>55</v>
      </c>
      <c r="C2607" t="s">
        <v>1308</v>
      </c>
      <c r="D2607">
        <v>717690</v>
      </c>
      <c r="E2607" t="s">
        <v>10</v>
      </c>
      <c r="F2607">
        <v>49.350299999999997</v>
      </c>
      <c r="G2607">
        <v>-124.16030000000001</v>
      </c>
      <c r="H2607">
        <v>-8</v>
      </c>
      <c r="I2607">
        <v>10</v>
      </c>
      <c r="J2607" t="str">
        <f>HYPERLINK("https://climate.onebuilding.org/WMO_Region_4_North_and_Central_America/CAN_Canada/BC_British_Columbia/CAN_BC_Ballenas.Island.717690_TMYx.zip")</f>
        <v>https://climate.onebuilding.org/WMO_Region_4_North_and_Central_America/CAN_Canada/BC_British_Columbia/CAN_BC_Ballenas.Island.717690_TMYx.zip</v>
      </c>
    </row>
    <row r="2608" spans="1:10" x14ac:dyDescent="0.25">
      <c r="A2608" t="s">
        <v>6</v>
      </c>
      <c r="B2608" t="s">
        <v>55</v>
      </c>
      <c r="C2608" t="s">
        <v>1310</v>
      </c>
      <c r="D2608">
        <v>717700</v>
      </c>
      <c r="E2608" t="s">
        <v>1311</v>
      </c>
      <c r="F2608">
        <v>49.081899999999997</v>
      </c>
      <c r="G2608">
        <v>-116.50060000000001</v>
      </c>
      <c r="H2608">
        <v>-7</v>
      </c>
      <c r="I2608">
        <v>646.20000000000005</v>
      </c>
      <c r="J2608" t="str">
        <f>HYPERLINK("https://climate.onebuilding.org/WMO_Region_4_North_and_Central_America/CAN_Canada/BC_British_Columbia/CAN_BC_Creston.717700_TMYx.2004-2018.zip")</f>
        <v>https://climate.onebuilding.org/WMO_Region_4_North_and_Central_America/CAN_Canada/BC_British_Columbia/CAN_BC_Creston.717700_TMYx.2004-2018.zip</v>
      </c>
    </row>
    <row r="2609" spans="1:10" x14ac:dyDescent="0.25">
      <c r="A2609" t="s">
        <v>6</v>
      </c>
      <c r="B2609" t="s">
        <v>55</v>
      </c>
      <c r="C2609" t="s">
        <v>1310</v>
      </c>
      <c r="D2609">
        <v>717700</v>
      </c>
      <c r="E2609" t="s">
        <v>10</v>
      </c>
      <c r="F2609">
        <v>49.081699999999998</v>
      </c>
      <c r="G2609">
        <v>-116.50069999999999</v>
      </c>
      <c r="H2609">
        <v>-7</v>
      </c>
      <c r="I2609">
        <v>646.20000000000005</v>
      </c>
      <c r="J2609" t="str">
        <f>HYPERLINK("https://climate.onebuilding.org/WMO_Region_4_North_and_Central_America/CAN_Canada/BC_British_Columbia/CAN_BC_Creston.717700_TMYx.2007-2021.zip")</f>
        <v>https://climate.onebuilding.org/WMO_Region_4_North_and_Central_America/CAN_Canada/BC_British_Columbia/CAN_BC_Creston.717700_TMYx.2007-2021.zip</v>
      </c>
    </row>
    <row r="2610" spans="1:10" x14ac:dyDescent="0.25">
      <c r="A2610" t="s">
        <v>6</v>
      </c>
      <c r="B2610" t="s">
        <v>55</v>
      </c>
      <c r="C2610" t="s">
        <v>1310</v>
      </c>
      <c r="D2610">
        <v>717700</v>
      </c>
      <c r="E2610" t="s">
        <v>10</v>
      </c>
      <c r="F2610">
        <v>49.081699999999998</v>
      </c>
      <c r="G2610">
        <v>-116.50069999999999</v>
      </c>
      <c r="H2610">
        <v>-7</v>
      </c>
      <c r="I2610">
        <v>646.20000000000005</v>
      </c>
      <c r="J2610" t="str">
        <f>HYPERLINK("https://climate.onebuilding.org/WMO_Region_4_North_and_Central_America/CAN_Canada/BC_British_Columbia/CAN_BC_Creston.717700_TMYx.2009-2023.zip")</f>
        <v>https://climate.onebuilding.org/WMO_Region_4_North_and_Central_America/CAN_Canada/BC_British_Columbia/CAN_BC_Creston.717700_TMYx.2009-2023.zip</v>
      </c>
    </row>
    <row r="2611" spans="1:10" x14ac:dyDescent="0.25">
      <c r="A2611" t="s">
        <v>6</v>
      </c>
      <c r="B2611" t="s">
        <v>55</v>
      </c>
      <c r="C2611" t="s">
        <v>1310</v>
      </c>
      <c r="D2611">
        <v>717700</v>
      </c>
      <c r="E2611" t="s">
        <v>10</v>
      </c>
      <c r="F2611">
        <v>49.081699999999998</v>
      </c>
      <c r="G2611">
        <v>-116.50069999999999</v>
      </c>
      <c r="H2611">
        <v>-7</v>
      </c>
      <c r="I2611">
        <v>646.20000000000005</v>
      </c>
      <c r="J2611" t="str">
        <f>HYPERLINK("https://climate.onebuilding.org/WMO_Region_4_North_and_Central_America/CAN_Canada/BC_British_Columbia/CAN_BC_Creston.717700_TMYx.zip")</f>
        <v>https://climate.onebuilding.org/WMO_Region_4_North_and_Central_America/CAN_Canada/BC_British_Columbia/CAN_BC_Creston.717700_TMYx.zip</v>
      </c>
    </row>
    <row r="2612" spans="1:10" x14ac:dyDescent="0.25">
      <c r="A2612" t="s">
        <v>6</v>
      </c>
      <c r="B2612" t="s">
        <v>55</v>
      </c>
      <c r="C2612" t="s">
        <v>1312</v>
      </c>
      <c r="D2612">
        <v>717710</v>
      </c>
      <c r="E2612" t="s">
        <v>1313</v>
      </c>
      <c r="F2612">
        <v>53.030299999999997</v>
      </c>
      <c r="G2612">
        <v>-131.60140000000001</v>
      </c>
      <c r="H2612">
        <v>-8</v>
      </c>
      <c r="I2612">
        <v>14.1</v>
      </c>
      <c r="J2612" t="str">
        <f>HYPERLINK("https://climate.onebuilding.org/WMO_Region_4_North_and_Central_America/CAN_Canada/BC_British_Columbia/CAN_BC_Cumshewa.Island.717710_TMYx.2004-2018.zip")</f>
        <v>https://climate.onebuilding.org/WMO_Region_4_North_and_Central_America/CAN_Canada/BC_British_Columbia/CAN_BC_Cumshewa.Island.717710_TMYx.2004-2018.zip</v>
      </c>
    </row>
    <row r="2613" spans="1:10" x14ac:dyDescent="0.25">
      <c r="A2613" t="s">
        <v>6</v>
      </c>
      <c r="B2613" t="s">
        <v>55</v>
      </c>
      <c r="C2613" t="s">
        <v>1312</v>
      </c>
      <c r="D2613">
        <v>717710</v>
      </c>
      <c r="E2613" t="s">
        <v>10</v>
      </c>
      <c r="F2613">
        <v>53.030299999999997</v>
      </c>
      <c r="G2613">
        <v>-131.60140000000001</v>
      </c>
      <c r="H2613">
        <v>-8</v>
      </c>
      <c r="I2613">
        <v>14.1</v>
      </c>
      <c r="J2613" t="str">
        <f>HYPERLINK("https://climate.onebuilding.org/WMO_Region_4_North_and_Central_America/CAN_Canada/BC_British_Columbia/CAN_BC_Cumshewa.Island.717710_TMYx.2007-2021.zip")</f>
        <v>https://climate.onebuilding.org/WMO_Region_4_North_and_Central_America/CAN_Canada/BC_British_Columbia/CAN_BC_Cumshewa.Island.717710_TMYx.2007-2021.zip</v>
      </c>
    </row>
    <row r="2614" spans="1:10" x14ac:dyDescent="0.25">
      <c r="A2614" t="s">
        <v>6</v>
      </c>
      <c r="B2614" t="s">
        <v>55</v>
      </c>
      <c r="C2614" t="s">
        <v>1312</v>
      </c>
      <c r="D2614">
        <v>717710</v>
      </c>
      <c r="E2614" t="s">
        <v>10</v>
      </c>
      <c r="F2614">
        <v>53.030299999999997</v>
      </c>
      <c r="G2614">
        <v>-131.60140000000001</v>
      </c>
      <c r="H2614">
        <v>-8</v>
      </c>
      <c r="I2614">
        <v>14.1</v>
      </c>
      <c r="J2614" t="str">
        <f>HYPERLINK("https://climate.onebuilding.org/WMO_Region_4_North_and_Central_America/CAN_Canada/BC_British_Columbia/CAN_BC_Cumshewa.Island.717710_TMYx.2009-2023.zip")</f>
        <v>https://climate.onebuilding.org/WMO_Region_4_North_and_Central_America/CAN_Canada/BC_British_Columbia/CAN_BC_Cumshewa.Island.717710_TMYx.2009-2023.zip</v>
      </c>
    </row>
    <row r="2615" spans="1:10" x14ac:dyDescent="0.25">
      <c r="A2615" t="s">
        <v>6</v>
      </c>
      <c r="B2615" t="s">
        <v>55</v>
      </c>
      <c r="C2615" t="s">
        <v>1312</v>
      </c>
      <c r="D2615">
        <v>717710</v>
      </c>
      <c r="E2615" t="s">
        <v>10</v>
      </c>
      <c r="F2615">
        <v>53.030299999999997</v>
      </c>
      <c r="G2615">
        <v>-131.60140000000001</v>
      </c>
      <c r="H2615">
        <v>-8</v>
      </c>
      <c r="I2615">
        <v>14.1</v>
      </c>
      <c r="J2615" t="str">
        <f>HYPERLINK("https://climate.onebuilding.org/WMO_Region_4_North_and_Central_America/CAN_Canada/BC_British_Columbia/CAN_BC_Cumshewa.Island.717710_TMYx.zip")</f>
        <v>https://climate.onebuilding.org/WMO_Region_4_North_and_Central_America/CAN_Canada/BC_British_Columbia/CAN_BC_Cumshewa.Island.717710_TMYx.zip</v>
      </c>
    </row>
    <row r="2616" spans="1:10" x14ac:dyDescent="0.25">
      <c r="A2616" t="s">
        <v>6</v>
      </c>
      <c r="B2616" t="s">
        <v>55</v>
      </c>
      <c r="C2616" t="s">
        <v>1314</v>
      </c>
      <c r="D2616">
        <v>717720</v>
      </c>
      <c r="E2616" t="s">
        <v>1315</v>
      </c>
      <c r="F2616">
        <v>49.208599999999997</v>
      </c>
      <c r="G2616">
        <v>-123.81059999999999</v>
      </c>
      <c r="H2616">
        <v>-8</v>
      </c>
      <c r="I2616">
        <v>8.6999999999999993</v>
      </c>
      <c r="J2616" t="str">
        <f>HYPERLINK("https://climate.onebuilding.org/WMO_Region_4_North_and_Central_America/CAN_Canada/BC_British_Columbia/CAN_BC_Entrance.Island.CS.717720_TMYx.2004-2018.zip")</f>
        <v>https://climate.onebuilding.org/WMO_Region_4_North_and_Central_America/CAN_Canada/BC_British_Columbia/CAN_BC_Entrance.Island.CS.717720_TMYx.2004-2018.zip</v>
      </c>
    </row>
    <row r="2617" spans="1:10" x14ac:dyDescent="0.25">
      <c r="A2617" t="s">
        <v>6</v>
      </c>
      <c r="B2617" t="s">
        <v>55</v>
      </c>
      <c r="C2617" t="s">
        <v>1314</v>
      </c>
      <c r="D2617">
        <v>717720</v>
      </c>
      <c r="E2617" t="s">
        <v>10</v>
      </c>
      <c r="F2617">
        <v>49.208599999999997</v>
      </c>
      <c r="G2617">
        <v>-123.81059999999999</v>
      </c>
      <c r="H2617">
        <v>-8</v>
      </c>
      <c r="I2617">
        <v>8.6999999999999993</v>
      </c>
      <c r="J2617" t="str">
        <f>HYPERLINK("https://climate.onebuilding.org/WMO_Region_4_North_and_Central_America/CAN_Canada/BC_British_Columbia/CAN_BC_Entrance.Island.CS.717720_TMYx.2007-2021.zip")</f>
        <v>https://climate.onebuilding.org/WMO_Region_4_North_and_Central_America/CAN_Canada/BC_British_Columbia/CAN_BC_Entrance.Island.CS.717720_TMYx.2007-2021.zip</v>
      </c>
    </row>
    <row r="2618" spans="1:10" x14ac:dyDescent="0.25">
      <c r="A2618" t="s">
        <v>6</v>
      </c>
      <c r="B2618" t="s">
        <v>55</v>
      </c>
      <c r="C2618" t="s">
        <v>1314</v>
      </c>
      <c r="D2618">
        <v>717720</v>
      </c>
      <c r="E2618" t="s">
        <v>10</v>
      </c>
      <c r="F2618">
        <v>49.208599999999997</v>
      </c>
      <c r="G2618">
        <v>-123.81059999999999</v>
      </c>
      <c r="H2618">
        <v>-8</v>
      </c>
      <c r="I2618">
        <v>8.6999999999999993</v>
      </c>
      <c r="J2618" t="str">
        <f>HYPERLINK("https://climate.onebuilding.org/WMO_Region_4_North_and_Central_America/CAN_Canada/BC_British_Columbia/CAN_BC_Entrance.Island.CS.717720_TMYx.2009-2023.zip")</f>
        <v>https://climate.onebuilding.org/WMO_Region_4_North_and_Central_America/CAN_Canada/BC_British_Columbia/CAN_BC_Entrance.Island.CS.717720_TMYx.2009-2023.zip</v>
      </c>
    </row>
    <row r="2619" spans="1:10" x14ac:dyDescent="0.25">
      <c r="A2619" t="s">
        <v>6</v>
      </c>
      <c r="B2619" t="s">
        <v>55</v>
      </c>
      <c r="C2619" t="s">
        <v>1314</v>
      </c>
      <c r="D2619">
        <v>717720</v>
      </c>
      <c r="E2619" t="s">
        <v>10</v>
      </c>
      <c r="F2619">
        <v>49.208599999999997</v>
      </c>
      <c r="G2619">
        <v>-123.81059999999999</v>
      </c>
      <c r="H2619">
        <v>-8</v>
      </c>
      <c r="I2619">
        <v>8.6999999999999993</v>
      </c>
      <c r="J2619" t="str">
        <f>HYPERLINK("https://climate.onebuilding.org/WMO_Region_4_North_and_Central_America/CAN_Canada/BC_British_Columbia/CAN_BC_Entrance.Island.CS.717720_TMYx.zip")</f>
        <v>https://climate.onebuilding.org/WMO_Region_4_North_and_Central_America/CAN_Canada/BC_British_Columbia/CAN_BC_Entrance.Island.CS.717720_TMYx.zip</v>
      </c>
    </row>
    <row r="2620" spans="1:10" x14ac:dyDescent="0.25">
      <c r="A2620" t="s">
        <v>6</v>
      </c>
      <c r="B2620" t="s">
        <v>55</v>
      </c>
      <c r="C2620" t="s">
        <v>1316</v>
      </c>
      <c r="D2620">
        <v>717740</v>
      </c>
      <c r="E2620" t="s">
        <v>1317</v>
      </c>
      <c r="F2620">
        <v>48.575000000000003</v>
      </c>
      <c r="G2620">
        <v>-123.53</v>
      </c>
      <c r="H2620">
        <v>-8</v>
      </c>
      <c r="I2620">
        <v>365.8</v>
      </c>
      <c r="J2620" t="str">
        <f>HYPERLINK("https://climate.onebuilding.org/WMO_Region_4_North_and_Central_America/CAN_Canada/BC_British_Columbia/CAN_BC_Malahat.717740_TMYx.2004-2018.zip")</f>
        <v>https://climate.onebuilding.org/WMO_Region_4_North_and_Central_America/CAN_Canada/BC_British_Columbia/CAN_BC_Malahat.717740_TMYx.2004-2018.zip</v>
      </c>
    </row>
    <row r="2621" spans="1:10" x14ac:dyDescent="0.25">
      <c r="A2621" t="s">
        <v>6</v>
      </c>
      <c r="B2621" t="s">
        <v>55</v>
      </c>
      <c r="C2621" t="s">
        <v>1316</v>
      </c>
      <c r="D2621">
        <v>717740</v>
      </c>
      <c r="E2621" t="s">
        <v>10</v>
      </c>
      <c r="F2621">
        <v>48.575000000000003</v>
      </c>
      <c r="G2621">
        <v>-123.53</v>
      </c>
      <c r="H2621">
        <v>-8</v>
      </c>
      <c r="I2621">
        <v>365.8</v>
      </c>
      <c r="J2621" t="str">
        <f>HYPERLINK("https://climate.onebuilding.org/WMO_Region_4_North_and_Central_America/CAN_Canada/BC_British_Columbia/CAN_BC_Malahat.717740_TMYx.2007-2021.zip")</f>
        <v>https://climate.onebuilding.org/WMO_Region_4_North_and_Central_America/CAN_Canada/BC_British_Columbia/CAN_BC_Malahat.717740_TMYx.2007-2021.zip</v>
      </c>
    </row>
    <row r="2622" spans="1:10" x14ac:dyDescent="0.25">
      <c r="A2622" t="s">
        <v>6</v>
      </c>
      <c r="B2622" t="s">
        <v>55</v>
      </c>
      <c r="C2622" t="s">
        <v>1316</v>
      </c>
      <c r="D2622">
        <v>717740</v>
      </c>
      <c r="E2622" t="s">
        <v>10</v>
      </c>
      <c r="F2622">
        <v>48.575000000000003</v>
      </c>
      <c r="G2622">
        <v>-123.53</v>
      </c>
      <c r="H2622">
        <v>-8</v>
      </c>
      <c r="I2622">
        <v>365.8</v>
      </c>
      <c r="J2622" t="str">
        <f>HYPERLINK("https://climate.onebuilding.org/WMO_Region_4_North_and_Central_America/CAN_Canada/BC_British_Columbia/CAN_BC_Malahat.717740_TMYx.2009-2023.zip")</f>
        <v>https://climate.onebuilding.org/WMO_Region_4_North_and_Central_America/CAN_Canada/BC_British_Columbia/CAN_BC_Malahat.717740_TMYx.2009-2023.zip</v>
      </c>
    </row>
    <row r="2623" spans="1:10" x14ac:dyDescent="0.25">
      <c r="A2623" t="s">
        <v>6</v>
      </c>
      <c r="B2623" t="s">
        <v>55</v>
      </c>
      <c r="C2623" t="s">
        <v>1316</v>
      </c>
      <c r="D2623">
        <v>717740</v>
      </c>
      <c r="E2623" t="s">
        <v>10</v>
      </c>
      <c r="F2623">
        <v>48.575000000000003</v>
      </c>
      <c r="G2623">
        <v>-123.53</v>
      </c>
      <c r="H2623">
        <v>-8</v>
      </c>
      <c r="I2623">
        <v>365.8</v>
      </c>
      <c r="J2623" t="str">
        <f>HYPERLINK("https://climate.onebuilding.org/WMO_Region_4_North_and_Central_America/CAN_Canada/BC_British_Columbia/CAN_BC_Malahat.717740_TMYx.zip")</f>
        <v>https://climate.onebuilding.org/WMO_Region_4_North_and_Central_America/CAN_Canada/BC_British_Columbia/CAN_BC_Malahat.717740_TMYx.zip</v>
      </c>
    </row>
    <row r="2624" spans="1:10" x14ac:dyDescent="0.25">
      <c r="A2624" t="s">
        <v>6</v>
      </c>
      <c r="B2624" t="s">
        <v>55</v>
      </c>
      <c r="C2624" t="s">
        <v>1318</v>
      </c>
      <c r="D2624">
        <v>717750</v>
      </c>
      <c r="E2624" t="s">
        <v>1319</v>
      </c>
      <c r="F2624">
        <v>49.208300000000001</v>
      </c>
      <c r="G2624">
        <v>-122.69029999999999</v>
      </c>
      <c r="H2624">
        <v>-8</v>
      </c>
      <c r="I2624">
        <v>5</v>
      </c>
      <c r="J2624" t="str">
        <f>HYPERLINK("https://climate.onebuilding.org/WMO_Region_4_North_and_Central_America/CAN_Canada/BC_British_Columbia/CAN_BC_Pitt.Meadows.Rgnl.AP.717750_TMYx.2004-2018.zip")</f>
        <v>https://climate.onebuilding.org/WMO_Region_4_North_and_Central_America/CAN_Canada/BC_British_Columbia/CAN_BC_Pitt.Meadows.Rgnl.AP.717750_TMYx.2004-2018.zip</v>
      </c>
    </row>
    <row r="2625" spans="1:10" x14ac:dyDescent="0.25">
      <c r="A2625" t="s">
        <v>6</v>
      </c>
      <c r="B2625" t="s">
        <v>55</v>
      </c>
      <c r="C2625" t="s">
        <v>1318</v>
      </c>
      <c r="D2625">
        <v>717750</v>
      </c>
      <c r="E2625" t="s">
        <v>10</v>
      </c>
      <c r="F2625">
        <v>49.208300000000001</v>
      </c>
      <c r="G2625">
        <v>-122.69</v>
      </c>
      <c r="H2625">
        <v>-8</v>
      </c>
      <c r="I2625">
        <v>5</v>
      </c>
      <c r="J2625" t="str">
        <f>HYPERLINK("https://climate.onebuilding.org/WMO_Region_4_North_and_Central_America/CAN_Canada/BC_British_Columbia/CAN_BC_Pitt.Meadows.Rgnl.AP.717750_TMYx.2007-2021.zip")</f>
        <v>https://climate.onebuilding.org/WMO_Region_4_North_and_Central_America/CAN_Canada/BC_British_Columbia/CAN_BC_Pitt.Meadows.Rgnl.AP.717750_TMYx.2007-2021.zip</v>
      </c>
    </row>
    <row r="2626" spans="1:10" x14ac:dyDescent="0.25">
      <c r="A2626" t="s">
        <v>6</v>
      </c>
      <c r="B2626" t="s">
        <v>55</v>
      </c>
      <c r="C2626" t="s">
        <v>1318</v>
      </c>
      <c r="D2626">
        <v>717750</v>
      </c>
      <c r="E2626" t="s">
        <v>10</v>
      </c>
      <c r="F2626">
        <v>49.208300000000001</v>
      </c>
      <c r="G2626">
        <v>-122.69</v>
      </c>
      <c r="H2626">
        <v>-8</v>
      </c>
      <c r="I2626">
        <v>5</v>
      </c>
      <c r="J2626" t="str">
        <f>HYPERLINK("https://climate.onebuilding.org/WMO_Region_4_North_and_Central_America/CAN_Canada/BC_British_Columbia/CAN_BC_Pitt.Meadows.Rgnl.AP.717750_TMYx.2009-2023.zip")</f>
        <v>https://climate.onebuilding.org/WMO_Region_4_North_and_Central_America/CAN_Canada/BC_British_Columbia/CAN_BC_Pitt.Meadows.Rgnl.AP.717750_TMYx.2009-2023.zip</v>
      </c>
    </row>
    <row r="2627" spans="1:10" x14ac:dyDescent="0.25">
      <c r="A2627" t="s">
        <v>6</v>
      </c>
      <c r="B2627" t="s">
        <v>55</v>
      </c>
      <c r="C2627" t="s">
        <v>1318</v>
      </c>
      <c r="D2627">
        <v>717750</v>
      </c>
      <c r="E2627" t="s">
        <v>10</v>
      </c>
      <c r="F2627">
        <v>49.208300000000001</v>
      </c>
      <c r="G2627">
        <v>-122.69</v>
      </c>
      <c r="H2627">
        <v>-8</v>
      </c>
      <c r="I2627">
        <v>5</v>
      </c>
      <c r="J2627" t="str">
        <f>HYPERLINK("https://climate.onebuilding.org/WMO_Region_4_North_and_Central_America/CAN_Canada/BC_British_Columbia/CAN_BC_Pitt.Meadows.Rgnl.AP.717750_TMYx.zip")</f>
        <v>https://climate.onebuilding.org/WMO_Region_4_North_and_Central_America/CAN_Canada/BC_British_Columbia/CAN_BC_Pitt.Meadows.Rgnl.AP.717750_TMYx.zip</v>
      </c>
    </row>
    <row r="2628" spans="1:10" x14ac:dyDescent="0.25">
      <c r="A2628" t="s">
        <v>6</v>
      </c>
      <c r="B2628" t="s">
        <v>55</v>
      </c>
      <c r="C2628" t="s">
        <v>1320</v>
      </c>
      <c r="D2628">
        <v>717760</v>
      </c>
      <c r="E2628" t="s">
        <v>1321</v>
      </c>
      <c r="F2628">
        <v>49.491399999999999</v>
      </c>
      <c r="G2628">
        <v>-117.3053</v>
      </c>
      <c r="H2628">
        <v>-8</v>
      </c>
      <c r="I2628">
        <v>534.9</v>
      </c>
      <c r="J2628" t="str">
        <f>HYPERLINK("https://climate.onebuilding.org/WMO_Region_4_North_and_Central_America/CAN_Canada/BC_British_Columbia/CAN_BC_Nelson.AP.717760_TMYx.2004-2018.zip")</f>
        <v>https://climate.onebuilding.org/WMO_Region_4_North_and_Central_America/CAN_Canada/BC_British_Columbia/CAN_BC_Nelson.AP.717760_TMYx.2004-2018.zip</v>
      </c>
    </row>
    <row r="2629" spans="1:10" x14ac:dyDescent="0.25">
      <c r="A2629" t="s">
        <v>6</v>
      </c>
      <c r="B2629" t="s">
        <v>55</v>
      </c>
      <c r="C2629" t="s">
        <v>1320</v>
      </c>
      <c r="D2629">
        <v>717760</v>
      </c>
      <c r="E2629" t="s">
        <v>10</v>
      </c>
      <c r="F2629">
        <v>49.491399999999999</v>
      </c>
      <c r="G2629">
        <v>-117.3053</v>
      </c>
      <c r="H2629">
        <v>-8</v>
      </c>
      <c r="I2629">
        <v>534.9</v>
      </c>
      <c r="J2629" t="str">
        <f>HYPERLINK("https://climate.onebuilding.org/WMO_Region_4_North_and_Central_America/CAN_Canada/BC_British_Columbia/CAN_BC_Nelson.AP.717760_TMYx.2007-2021.zip")</f>
        <v>https://climate.onebuilding.org/WMO_Region_4_North_and_Central_America/CAN_Canada/BC_British_Columbia/CAN_BC_Nelson.AP.717760_TMYx.2007-2021.zip</v>
      </c>
    </row>
    <row r="2630" spans="1:10" x14ac:dyDescent="0.25">
      <c r="A2630" t="s">
        <v>6</v>
      </c>
      <c r="B2630" t="s">
        <v>55</v>
      </c>
      <c r="C2630" t="s">
        <v>1320</v>
      </c>
      <c r="D2630">
        <v>717760</v>
      </c>
      <c r="E2630" t="s">
        <v>10</v>
      </c>
      <c r="F2630">
        <v>49.491399999999999</v>
      </c>
      <c r="G2630">
        <v>-117.3053</v>
      </c>
      <c r="H2630">
        <v>-8</v>
      </c>
      <c r="I2630">
        <v>534.9</v>
      </c>
      <c r="J2630" t="str">
        <f>HYPERLINK("https://climate.onebuilding.org/WMO_Region_4_North_and_Central_America/CAN_Canada/BC_British_Columbia/CAN_BC_Nelson.AP.717760_TMYx.2009-2023.zip")</f>
        <v>https://climate.onebuilding.org/WMO_Region_4_North_and_Central_America/CAN_Canada/BC_British_Columbia/CAN_BC_Nelson.AP.717760_TMYx.2009-2023.zip</v>
      </c>
    </row>
    <row r="2631" spans="1:10" x14ac:dyDescent="0.25">
      <c r="A2631" t="s">
        <v>6</v>
      </c>
      <c r="B2631" t="s">
        <v>55</v>
      </c>
      <c r="C2631" t="s">
        <v>1320</v>
      </c>
      <c r="D2631">
        <v>717760</v>
      </c>
      <c r="E2631" t="s">
        <v>10</v>
      </c>
      <c r="F2631">
        <v>49.491399999999999</v>
      </c>
      <c r="G2631">
        <v>-117.3053</v>
      </c>
      <c r="H2631">
        <v>-8</v>
      </c>
      <c r="I2631">
        <v>534.9</v>
      </c>
      <c r="J2631" t="str">
        <f>HYPERLINK("https://climate.onebuilding.org/WMO_Region_4_North_and_Central_America/CAN_Canada/BC_British_Columbia/CAN_BC_Nelson.AP.717760_TMYx.zip")</f>
        <v>https://climate.onebuilding.org/WMO_Region_4_North_and_Central_America/CAN_Canada/BC_British_Columbia/CAN_BC_Nelson.AP.717760_TMYx.zip</v>
      </c>
    </row>
    <row r="2632" spans="1:10" x14ac:dyDescent="0.25">
      <c r="A2632" t="s">
        <v>6</v>
      </c>
      <c r="B2632" t="s">
        <v>55</v>
      </c>
      <c r="C2632" t="s">
        <v>1322</v>
      </c>
      <c r="D2632">
        <v>717770</v>
      </c>
      <c r="E2632" t="s">
        <v>1323</v>
      </c>
      <c r="F2632">
        <v>50.305599999999998</v>
      </c>
      <c r="G2632">
        <v>-122.7342</v>
      </c>
      <c r="H2632">
        <v>-8</v>
      </c>
      <c r="I2632">
        <v>204.3</v>
      </c>
      <c r="J2632" t="str">
        <f>HYPERLINK("https://climate.onebuilding.org/WMO_Region_4_North_and_Central_America/CAN_Canada/BC_British_Columbia/CAN_BC_Pemberton.Rgnl.AP.717770_TMYx.2004-2018.zip")</f>
        <v>https://climate.onebuilding.org/WMO_Region_4_North_and_Central_America/CAN_Canada/BC_British_Columbia/CAN_BC_Pemberton.Rgnl.AP.717770_TMYx.2004-2018.zip</v>
      </c>
    </row>
    <row r="2633" spans="1:10" x14ac:dyDescent="0.25">
      <c r="A2633" t="s">
        <v>6</v>
      </c>
      <c r="B2633" t="s">
        <v>55</v>
      </c>
      <c r="C2633" t="s">
        <v>1322</v>
      </c>
      <c r="D2633">
        <v>717770</v>
      </c>
      <c r="E2633" t="s">
        <v>10</v>
      </c>
      <c r="F2633">
        <v>50.305599999999998</v>
      </c>
      <c r="G2633">
        <v>-122.7342</v>
      </c>
      <c r="H2633">
        <v>-8</v>
      </c>
      <c r="I2633">
        <v>204.3</v>
      </c>
      <c r="J2633" t="str">
        <f>HYPERLINK("https://climate.onebuilding.org/WMO_Region_4_North_and_Central_America/CAN_Canada/BC_British_Columbia/CAN_BC_Pemberton.Rgnl.AP.717770_TMYx.2007-2021.zip")</f>
        <v>https://climate.onebuilding.org/WMO_Region_4_North_and_Central_America/CAN_Canada/BC_British_Columbia/CAN_BC_Pemberton.Rgnl.AP.717770_TMYx.2007-2021.zip</v>
      </c>
    </row>
    <row r="2634" spans="1:10" x14ac:dyDescent="0.25">
      <c r="A2634" t="s">
        <v>6</v>
      </c>
      <c r="B2634" t="s">
        <v>55</v>
      </c>
      <c r="C2634" t="s">
        <v>1322</v>
      </c>
      <c r="D2634">
        <v>717770</v>
      </c>
      <c r="E2634" t="s">
        <v>10</v>
      </c>
      <c r="F2634">
        <v>50.305599999999998</v>
      </c>
      <c r="G2634">
        <v>-122.7342</v>
      </c>
      <c r="H2634">
        <v>-8</v>
      </c>
      <c r="I2634">
        <v>204.3</v>
      </c>
      <c r="J2634" t="str">
        <f>HYPERLINK("https://climate.onebuilding.org/WMO_Region_4_North_and_Central_America/CAN_Canada/BC_British_Columbia/CAN_BC_Pemberton.Rgnl.AP.717770_TMYx.2009-2023.zip")</f>
        <v>https://climate.onebuilding.org/WMO_Region_4_North_and_Central_America/CAN_Canada/BC_British_Columbia/CAN_BC_Pemberton.Rgnl.AP.717770_TMYx.2009-2023.zip</v>
      </c>
    </row>
    <row r="2635" spans="1:10" x14ac:dyDescent="0.25">
      <c r="A2635" t="s">
        <v>6</v>
      </c>
      <c r="B2635" t="s">
        <v>55</v>
      </c>
      <c r="C2635" t="s">
        <v>1322</v>
      </c>
      <c r="D2635">
        <v>717770</v>
      </c>
      <c r="E2635" t="s">
        <v>10</v>
      </c>
      <c r="F2635">
        <v>50.305599999999998</v>
      </c>
      <c r="G2635">
        <v>-122.7342</v>
      </c>
      <c r="H2635">
        <v>-8</v>
      </c>
      <c r="I2635">
        <v>204.3</v>
      </c>
      <c r="J2635" t="str">
        <f>HYPERLINK("https://climate.onebuilding.org/WMO_Region_4_North_and_Central_America/CAN_Canada/BC_British_Columbia/CAN_BC_Pemberton.Rgnl.AP.717770_TMYx.zip")</f>
        <v>https://climate.onebuilding.org/WMO_Region_4_North_and_Central_America/CAN_Canada/BC_British_Columbia/CAN_BC_Pemberton.Rgnl.AP.717770_TMYx.zip</v>
      </c>
    </row>
    <row r="2636" spans="1:10" x14ac:dyDescent="0.25">
      <c r="A2636" t="s">
        <v>6</v>
      </c>
      <c r="B2636" t="s">
        <v>55</v>
      </c>
      <c r="C2636" t="s">
        <v>1324</v>
      </c>
      <c r="D2636">
        <v>717780</v>
      </c>
      <c r="E2636" t="s">
        <v>1325</v>
      </c>
      <c r="F2636">
        <v>48.298099999999998</v>
      </c>
      <c r="G2636">
        <v>-123.5314</v>
      </c>
      <c r="H2636">
        <v>-8</v>
      </c>
      <c r="I2636">
        <v>31</v>
      </c>
      <c r="J2636" t="str">
        <f>HYPERLINK("https://climate.onebuilding.org/WMO_Region_4_North_and_Central_America/CAN_Canada/BC_British_Columbia/CAN_BC_Race.Rocks.Lighthouse.717780_TMYx.2004-2018.zip")</f>
        <v>https://climate.onebuilding.org/WMO_Region_4_North_and_Central_America/CAN_Canada/BC_British_Columbia/CAN_BC_Race.Rocks.Lighthouse.717780_TMYx.2004-2018.zip</v>
      </c>
    </row>
    <row r="2637" spans="1:10" x14ac:dyDescent="0.25">
      <c r="A2637" t="s">
        <v>6</v>
      </c>
      <c r="B2637" t="s">
        <v>55</v>
      </c>
      <c r="C2637" t="s">
        <v>1324</v>
      </c>
      <c r="D2637">
        <v>717780</v>
      </c>
      <c r="E2637" t="s">
        <v>10</v>
      </c>
      <c r="F2637">
        <v>48.298099999999998</v>
      </c>
      <c r="G2637">
        <v>-123.5314</v>
      </c>
      <c r="H2637">
        <v>-8</v>
      </c>
      <c r="I2637">
        <v>31</v>
      </c>
      <c r="J2637" t="str">
        <f>HYPERLINK("https://climate.onebuilding.org/WMO_Region_4_North_and_Central_America/CAN_Canada/BC_British_Columbia/CAN_BC_Race.Rocks.Lighthouse.717780_TMYx.2007-2021.zip")</f>
        <v>https://climate.onebuilding.org/WMO_Region_4_North_and_Central_America/CAN_Canada/BC_British_Columbia/CAN_BC_Race.Rocks.Lighthouse.717780_TMYx.2007-2021.zip</v>
      </c>
    </row>
    <row r="2638" spans="1:10" x14ac:dyDescent="0.25">
      <c r="A2638" t="s">
        <v>6</v>
      </c>
      <c r="B2638" t="s">
        <v>55</v>
      </c>
      <c r="C2638" t="s">
        <v>1324</v>
      </c>
      <c r="D2638">
        <v>717780</v>
      </c>
      <c r="E2638" t="s">
        <v>10</v>
      </c>
      <c r="F2638">
        <v>48.298099999999998</v>
      </c>
      <c r="G2638">
        <v>-123.5314</v>
      </c>
      <c r="H2638">
        <v>-8</v>
      </c>
      <c r="I2638">
        <v>31</v>
      </c>
      <c r="J2638" t="str">
        <f>HYPERLINK("https://climate.onebuilding.org/WMO_Region_4_North_and_Central_America/CAN_Canada/BC_British_Columbia/CAN_BC_Race.Rocks.Lighthouse.717780_TMYx.2009-2023.zip")</f>
        <v>https://climate.onebuilding.org/WMO_Region_4_North_and_Central_America/CAN_Canada/BC_British_Columbia/CAN_BC_Race.Rocks.Lighthouse.717780_TMYx.2009-2023.zip</v>
      </c>
    </row>
    <row r="2639" spans="1:10" x14ac:dyDescent="0.25">
      <c r="A2639" t="s">
        <v>6</v>
      </c>
      <c r="B2639" t="s">
        <v>55</v>
      </c>
      <c r="C2639" t="s">
        <v>1324</v>
      </c>
      <c r="D2639">
        <v>717780</v>
      </c>
      <c r="E2639" t="s">
        <v>10</v>
      </c>
      <c r="F2639">
        <v>48.298099999999998</v>
      </c>
      <c r="G2639">
        <v>-123.5314</v>
      </c>
      <c r="H2639">
        <v>-8</v>
      </c>
      <c r="I2639">
        <v>31</v>
      </c>
      <c r="J2639" t="str">
        <f>HYPERLINK("https://climate.onebuilding.org/WMO_Region_4_North_and_Central_America/CAN_Canada/BC_British_Columbia/CAN_BC_Race.Rocks.Lighthouse.717780_TMYx.zip")</f>
        <v>https://climate.onebuilding.org/WMO_Region_4_North_and_Central_America/CAN_Canada/BC_British_Columbia/CAN_BC_Race.Rocks.Lighthouse.717780_TMYx.zip</v>
      </c>
    </row>
    <row r="2640" spans="1:10" x14ac:dyDescent="0.25">
      <c r="A2640" t="s">
        <v>6</v>
      </c>
      <c r="B2640" t="s">
        <v>55</v>
      </c>
      <c r="C2640" t="s">
        <v>1326</v>
      </c>
      <c r="D2640">
        <v>717790</v>
      </c>
      <c r="E2640" t="s">
        <v>1327</v>
      </c>
      <c r="F2640">
        <v>53.026699999999998</v>
      </c>
      <c r="G2640">
        <v>-122.5064</v>
      </c>
      <c r="H2640">
        <v>-8</v>
      </c>
      <c r="I2640">
        <v>545.29999999999995</v>
      </c>
      <c r="J2640" t="str">
        <f>HYPERLINK("https://climate.onebuilding.org/WMO_Region_4_North_and_Central_America/CAN_Canada/BC_British_Columbia/CAN_BC_Quesnel.AP.717790_TMYx.2004-2018.zip")</f>
        <v>https://climate.onebuilding.org/WMO_Region_4_North_and_Central_America/CAN_Canada/BC_British_Columbia/CAN_BC_Quesnel.AP.717790_TMYx.2004-2018.zip</v>
      </c>
    </row>
    <row r="2641" spans="1:10" x14ac:dyDescent="0.25">
      <c r="A2641" t="s">
        <v>6</v>
      </c>
      <c r="B2641" t="s">
        <v>55</v>
      </c>
      <c r="C2641" t="s">
        <v>1326</v>
      </c>
      <c r="D2641">
        <v>717790</v>
      </c>
      <c r="E2641" t="s">
        <v>10</v>
      </c>
      <c r="F2641">
        <v>53.026699999999998</v>
      </c>
      <c r="G2641">
        <v>-122.5064</v>
      </c>
      <c r="H2641">
        <v>-8</v>
      </c>
      <c r="I2641">
        <v>545.29999999999995</v>
      </c>
      <c r="J2641" t="str">
        <f>HYPERLINK("https://climate.onebuilding.org/WMO_Region_4_North_and_Central_America/CAN_Canada/BC_British_Columbia/CAN_BC_Quesnel.AP.717790_TMYx.2007-2021.zip")</f>
        <v>https://climate.onebuilding.org/WMO_Region_4_North_and_Central_America/CAN_Canada/BC_British_Columbia/CAN_BC_Quesnel.AP.717790_TMYx.2007-2021.zip</v>
      </c>
    </row>
    <row r="2642" spans="1:10" x14ac:dyDescent="0.25">
      <c r="A2642" t="s">
        <v>6</v>
      </c>
      <c r="B2642" t="s">
        <v>55</v>
      </c>
      <c r="C2642" t="s">
        <v>1326</v>
      </c>
      <c r="D2642">
        <v>717790</v>
      </c>
      <c r="E2642" t="s">
        <v>10</v>
      </c>
      <c r="F2642">
        <v>53.026699999999998</v>
      </c>
      <c r="G2642">
        <v>-122.5064</v>
      </c>
      <c r="H2642">
        <v>-8</v>
      </c>
      <c r="I2642">
        <v>545.29999999999995</v>
      </c>
      <c r="J2642" t="str">
        <f>HYPERLINK("https://climate.onebuilding.org/WMO_Region_4_North_and_Central_America/CAN_Canada/BC_British_Columbia/CAN_BC_Quesnel.AP.717790_TMYx.2009-2023.zip")</f>
        <v>https://climate.onebuilding.org/WMO_Region_4_North_and_Central_America/CAN_Canada/BC_British_Columbia/CAN_BC_Quesnel.AP.717790_TMYx.2009-2023.zip</v>
      </c>
    </row>
    <row r="2643" spans="1:10" x14ac:dyDescent="0.25">
      <c r="A2643" t="s">
        <v>6</v>
      </c>
      <c r="B2643" t="s">
        <v>55</v>
      </c>
      <c r="C2643" t="s">
        <v>1326</v>
      </c>
      <c r="D2643">
        <v>717790</v>
      </c>
      <c r="E2643" t="s">
        <v>10</v>
      </c>
      <c r="F2643">
        <v>53.026699999999998</v>
      </c>
      <c r="G2643">
        <v>-122.5064</v>
      </c>
      <c r="H2643">
        <v>-8</v>
      </c>
      <c r="I2643">
        <v>545.29999999999995</v>
      </c>
      <c r="J2643" t="str">
        <f>HYPERLINK("https://climate.onebuilding.org/WMO_Region_4_North_and_Central_America/CAN_Canada/BC_British_Columbia/CAN_BC_Quesnel.AP.717790_TMYx.zip")</f>
        <v>https://climate.onebuilding.org/WMO_Region_4_North_and_Central_America/CAN_Canada/BC_British_Columbia/CAN_BC_Quesnel.AP.717790_TMYx.zip</v>
      </c>
    </row>
    <row r="2644" spans="1:10" x14ac:dyDescent="0.25">
      <c r="A2644" t="s">
        <v>6</v>
      </c>
      <c r="B2644" t="s">
        <v>55</v>
      </c>
      <c r="C2644" t="s">
        <v>1328</v>
      </c>
      <c r="D2644">
        <v>717800</v>
      </c>
      <c r="E2644" t="s">
        <v>1329</v>
      </c>
      <c r="F2644">
        <v>48.3767</v>
      </c>
      <c r="G2644">
        <v>-123.9211</v>
      </c>
      <c r="H2644">
        <v>-8</v>
      </c>
      <c r="I2644">
        <v>22.3</v>
      </c>
      <c r="J2644" t="str">
        <f>HYPERLINK("https://climate.onebuilding.org/WMO_Region_4_North_and_Central_America/CAN_Canada/BC_British_Columbia/CAN_BC_Sheringham.Point.Lighthouse.717800_TMYx.2004-2018.zip")</f>
        <v>https://climate.onebuilding.org/WMO_Region_4_North_and_Central_America/CAN_Canada/BC_British_Columbia/CAN_BC_Sheringham.Point.Lighthouse.717800_TMYx.2004-2018.zip</v>
      </c>
    </row>
    <row r="2645" spans="1:10" x14ac:dyDescent="0.25">
      <c r="A2645" t="s">
        <v>6</v>
      </c>
      <c r="B2645" t="s">
        <v>55</v>
      </c>
      <c r="C2645" t="s">
        <v>1328</v>
      </c>
      <c r="D2645">
        <v>717800</v>
      </c>
      <c r="E2645" t="s">
        <v>10</v>
      </c>
      <c r="F2645">
        <v>48.376660000000001</v>
      </c>
      <c r="G2645">
        <v>-123.9211</v>
      </c>
      <c r="H2645">
        <v>-8</v>
      </c>
      <c r="I2645">
        <v>22.3</v>
      </c>
      <c r="J2645" t="str">
        <f>HYPERLINK("https://climate.onebuilding.org/WMO_Region_4_North_and_Central_America/CAN_Canada/BC_British_Columbia/CAN_BC_Sheringham.Point.Lighthouse.717800_TMYx.2007-2021.zip")</f>
        <v>https://climate.onebuilding.org/WMO_Region_4_North_and_Central_America/CAN_Canada/BC_British_Columbia/CAN_BC_Sheringham.Point.Lighthouse.717800_TMYx.2007-2021.zip</v>
      </c>
    </row>
    <row r="2646" spans="1:10" x14ac:dyDescent="0.25">
      <c r="A2646" t="s">
        <v>6</v>
      </c>
      <c r="B2646" t="s">
        <v>55</v>
      </c>
      <c r="C2646" t="s">
        <v>1328</v>
      </c>
      <c r="D2646">
        <v>717800</v>
      </c>
      <c r="E2646" t="s">
        <v>10</v>
      </c>
      <c r="F2646">
        <v>48.376660000000001</v>
      </c>
      <c r="G2646">
        <v>-123.9211</v>
      </c>
      <c r="H2646">
        <v>-8</v>
      </c>
      <c r="I2646">
        <v>22.3</v>
      </c>
      <c r="J2646" t="str">
        <f>HYPERLINK("https://climate.onebuilding.org/WMO_Region_4_North_and_Central_America/CAN_Canada/BC_British_Columbia/CAN_BC_Sheringham.Point.Lighthouse.717800_TMYx.2009-2023.zip")</f>
        <v>https://climate.onebuilding.org/WMO_Region_4_North_and_Central_America/CAN_Canada/BC_British_Columbia/CAN_BC_Sheringham.Point.Lighthouse.717800_TMYx.2009-2023.zip</v>
      </c>
    </row>
    <row r="2647" spans="1:10" x14ac:dyDescent="0.25">
      <c r="A2647" t="s">
        <v>6</v>
      </c>
      <c r="B2647" t="s">
        <v>55</v>
      </c>
      <c r="C2647" t="s">
        <v>1328</v>
      </c>
      <c r="D2647">
        <v>717800</v>
      </c>
      <c r="E2647" t="s">
        <v>10</v>
      </c>
      <c r="F2647">
        <v>48.376660000000001</v>
      </c>
      <c r="G2647">
        <v>-123.9211</v>
      </c>
      <c r="H2647">
        <v>-8</v>
      </c>
      <c r="I2647">
        <v>22.3</v>
      </c>
      <c r="J2647" t="str">
        <f>HYPERLINK("https://climate.onebuilding.org/WMO_Region_4_North_and_Central_America/CAN_Canada/BC_British_Columbia/CAN_BC_Sheringham.Point.Lighthouse.717800_TMYx.zip")</f>
        <v>https://climate.onebuilding.org/WMO_Region_4_North_and_Central_America/CAN_Canada/BC_British_Columbia/CAN_BC_Sheringham.Point.Lighthouse.717800_TMYx.zip</v>
      </c>
    </row>
    <row r="2648" spans="1:10" x14ac:dyDescent="0.25">
      <c r="A2648" t="s">
        <v>6</v>
      </c>
      <c r="B2648" t="s">
        <v>55</v>
      </c>
      <c r="C2648" t="s">
        <v>1330</v>
      </c>
      <c r="D2648">
        <v>717810</v>
      </c>
      <c r="E2648" t="s">
        <v>1331</v>
      </c>
      <c r="F2648">
        <v>49.486699999999999</v>
      </c>
      <c r="G2648">
        <v>-124.435</v>
      </c>
      <c r="H2648">
        <v>-8</v>
      </c>
      <c r="I2648">
        <v>20</v>
      </c>
      <c r="J2648" t="str">
        <f>HYPERLINK("https://climate.onebuilding.org/WMO_Region_4_North_and_Central_America/CAN_Canada/BC_British_Columbia/CAN_BC_Sisters.Island.717810_TMYx.2004-2018.zip")</f>
        <v>https://climate.onebuilding.org/WMO_Region_4_North_and_Central_America/CAN_Canada/BC_British_Columbia/CAN_BC_Sisters.Island.717810_TMYx.2004-2018.zip</v>
      </c>
    </row>
    <row r="2649" spans="1:10" x14ac:dyDescent="0.25">
      <c r="A2649" t="s">
        <v>6</v>
      </c>
      <c r="B2649" t="s">
        <v>55</v>
      </c>
      <c r="C2649" t="s">
        <v>1330</v>
      </c>
      <c r="D2649">
        <v>717810</v>
      </c>
      <c r="E2649" t="s">
        <v>10</v>
      </c>
      <c r="F2649">
        <v>49.486699999999999</v>
      </c>
      <c r="G2649">
        <v>-124.435</v>
      </c>
      <c r="H2649">
        <v>-8</v>
      </c>
      <c r="I2649">
        <v>20</v>
      </c>
      <c r="J2649" t="str">
        <f>HYPERLINK("https://climate.onebuilding.org/WMO_Region_4_North_and_Central_America/CAN_Canada/BC_British_Columbia/CAN_BC_Sisters.Island.717810_TMYx.2007-2021.zip")</f>
        <v>https://climate.onebuilding.org/WMO_Region_4_North_and_Central_America/CAN_Canada/BC_British_Columbia/CAN_BC_Sisters.Island.717810_TMYx.2007-2021.zip</v>
      </c>
    </row>
    <row r="2650" spans="1:10" x14ac:dyDescent="0.25">
      <c r="A2650" t="s">
        <v>6</v>
      </c>
      <c r="B2650" t="s">
        <v>55</v>
      </c>
      <c r="C2650" t="s">
        <v>1330</v>
      </c>
      <c r="D2650">
        <v>717810</v>
      </c>
      <c r="E2650" t="s">
        <v>10</v>
      </c>
      <c r="F2650">
        <v>49.486699999999999</v>
      </c>
      <c r="G2650">
        <v>-124.435</v>
      </c>
      <c r="H2650">
        <v>-8</v>
      </c>
      <c r="I2650">
        <v>20</v>
      </c>
      <c r="J2650" t="str">
        <f>HYPERLINK("https://climate.onebuilding.org/WMO_Region_4_North_and_Central_America/CAN_Canada/BC_British_Columbia/CAN_BC_Sisters.Island.717810_TMYx.2009-2023.zip")</f>
        <v>https://climate.onebuilding.org/WMO_Region_4_North_and_Central_America/CAN_Canada/BC_British_Columbia/CAN_BC_Sisters.Island.717810_TMYx.2009-2023.zip</v>
      </c>
    </row>
    <row r="2651" spans="1:10" x14ac:dyDescent="0.25">
      <c r="A2651" t="s">
        <v>6</v>
      </c>
      <c r="B2651" t="s">
        <v>55</v>
      </c>
      <c r="C2651" t="s">
        <v>1330</v>
      </c>
      <c r="D2651">
        <v>717810</v>
      </c>
      <c r="E2651" t="s">
        <v>10</v>
      </c>
      <c r="F2651">
        <v>49.486699999999999</v>
      </c>
      <c r="G2651">
        <v>-124.435</v>
      </c>
      <c r="H2651">
        <v>-8</v>
      </c>
      <c r="I2651">
        <v>20</v>
      </c>
      <c r="J2651" t="str">
        <f>HYPERLINK("https://climate.onebuilding.org/WMO_Region_4_North_and_Central_America/CAN_Canada/BC_British_Columbia/CAN_BC_Sisters.Island.717810_TMYx.zip")</f>
        <v>https://climate.onebuilding.org/WMO_Region_4_North_and_Central_America/CAN_Canada/BC_British_Columbia/CAN_BC_Sisters.Island.717810_TMYx.zip</v>
      </c>
    </row>
    <row r="2652" spans="1:10" x14ac:dyDescent="0.25">
      <c r="A2652" t="s">
        <v>6</v>
      </c>
      <c r="B2652" t="s">
        <v>55</v>
      </c>
      <c r="C2652" t="s">
        <v>1332</v>
      </c>
      <c r="D2652">
        <v>717820</v>
      </c>
      <c r="E2652" t="s">
        <v>1333</v>
      </c>
      <c r="F2652">
        <v>49.744999999999997</v>
      </c>
      <c r="G2652">
        <v>-114.8839</v>
      </c>
      <c r="H2652">
        <v>-7</v>
      </c>
      <c r="I2652">
        <v>1138</v>
      </c>
      <c r="J2652" t="str">
        <f>HYPERLINK("https://climate.onebuilding.org/WMO_Region_4_North_and_Central_America/CAN_Canada/BC_British_Columbia/CAN_BC_Sparwood.CS.717820_TMYx.2004-2018.zip")</f>
        <v>https://climate.onebuilding.org/WMO_Region_4_North_and_Central_America/CAN_Canada/BC_British_Columbia/CAN_BC_Sparwood.CS.717820_TMYx.2004-2018.zip</v>
      </c>
    </row>
    <row r="2653" spans="1:10" x14ac:dyDescent="0.25">
      <c r="A2653" t="s">
        <v>6</v>
      </c>
      <c r="B2653" t="s">
        <v>55</v>
      </c>
      <c r="C2653" t="s">
        <v>1332</v>
      </c>
      <c r="D2653">
        <v>717820</v>
      </c>
      <c r="E2653" t="s">
        <v>10</v>
      </c>
      <c r="F2653">
        <v>49.744999999999997</v>
      </c>
      <c r="G2653">
        <v>-114.8839</v>
      </c>
      <c r="H2653">
        <v>-7</v>
      </c>
      <c r="I2653">
        <v>1138</v>
      </c>
      <c r="J2653" t="str">
        <f>HYPERLINK("https://climate.onebuilding.org/WMO_Region_4_North_and_Central_America/CAN_Canada/BC_British_Columbia/CAN_BC_Sparwood.CS.717820_TMYx.2007-2021.zip")</f>
        <v>https://climate.onebuilding.org/WMO_Region_4_North_and_Central_America/CAN_Canada/BC_British_Columbia/CAN_BC_Sparwood.CS.717820_TMYx.2007-2021.zip</v>
      </c>
    </row>
    <row r="2654" spans="1:10" x14ac:dyDescent="0.25">
      <c r="A2654" t="s">
        <v>6</v>
      </c>
      <c r="B2654" t="s">
        <v>55</v>
      </c>
      <c r="C2654" t="s">
        <v>1332</v>
      </c>
      <c r="D2654">
        <v>717820</v>
      </c>
      <c r="E2654" t="s">
        <v>10</v>
      </c>
      <c r="F2654">
        <v>49.744999999999997</v>
      </c>
      <c r="G2654">
        <v>-114.8839</v>
      </c>
      <c r="H2654">
        <v>-7</v>
      </c>
      <c r="I2654">
        <v>1138</v>
      </c>
      <c r="J2654" t="str">
        <f>HYPERLINK("https://climate.onebuilding.org/WMO_Region_4_North_and_Central_America/CAN_Canada/BC_British_Columbia/CAN_BC_Sparwood.CS.717820_TMYx.2009-2023.zip")</f>
        <v>https://climate.onebuilding.org/WMO_Region_4_North_and_Central_America/CAN_Canada/BC_British_Columbia/CAN_BC_Sparwood.CS.717820_TMYx.2009-2023.zip</v>
      </c>
    </row>
    <row r="2655" spans="1:10" x14ac:dyDescent="0.25">
      <c r="A2655" t="s">
        <v>6</v>
      </c>
      <c r="B2655" t="s">
        <v>55</v>
      </c>
      <c r="C2655" t="s">
        <v>1332</v>
      </c>
      <c r="D2655">
        <v>717820</v>
      </c>
      <c r="E2655" t="s">
        <v>10</v>
      </c>
      <c r="F2655">
        <v>49.744999999999997</v>
      </c>
      <c r="G2655">
        <v>-114.8839</v>
      </c>
      <c r="H2655">
        <v>-7</v>
      </c>
      <c r="I2655">
        <v>1138</v>
      </c>
      <c r="J2655" t="str">
        <f>HYPERLINK("https://climate.onebuilding.org/WMO_Region_4_North_and_Central_America/CAN_Canada/BC_British_Columbia/CAN_BC_Sparwood.CS.717820_TMYx.zip")</f>
        <v>https://climate.onebuilding.org/WMO_Region_4_North_and_Central_America/CAN_Canada/BC_British_Columbia/CAN_BC_Sparwood.CS.717820_TMYx.zip</v>
      </c>
    </row>
    <row r="2656" spans="1:10" x14ac:dyDescent="0.25">
      <c r="A2656" t="s">
        <v>6</v>
      </c>
      <c r="B2656" t="s">
        <v>55</v>
      </c>
      <c r="C2656" t="s">
        <v>1334</v>
      </c>
      <c r="D2656">
        <v>717830</v>
      </c>
      <c r="E2656" t="s">
        <v>1335</v>
      </c>
      <c r="F2656">
        <v>48.456899999999997</v>
      </c>
      <c r="G2656">
        <v>-123.3047</v>
      </c>
      <c r="H2656">
        <v>-8</v>
      </c>
      <c r="I2656">
        <v>60.1</v>
      </c>
      <c r="J2656" t="str">
        <f>HYPERLINK("https://climate.onebuilding.org/WMO_Region_4_North_and_Central_America/CAN_Canada/BC_British_Columbia/CAN_BC_Victoria-Univ.of.Victoria.717830_TMYx.2004-2018.zip")</f>
        <v>https://climate.onebuilding.org/WMO_Region_4_North_and_Central_America/CAN_Canada/BC_British_Columbia/CAN_BC_Victoria-Univ.of.Victoria.717830_TMYx.2004-2018.zip</v>
      </c>
    </row>
    <row r="2657" spans="1:10" x14ac:dyDescent="0.25">
      <c r="A2657" t="s">
        <v>6</v>
      </c>
      <c r="B2657" t="s">
        <v>55</v>
      </c>
      <c r="C2657" t="s">
        <v>1334</v>
      </c>
      <c r="D2657">
        <v>717830</v>
      </c>
      <c r="E2657" t="s">
        <v>10</v>
      </c>
      <c r="F2657">
        <v>48.456899999999997</v>
      </c>
      <c r="G2657">
        <v>-123.3047</v>
      </c>
      <c r="H2657">
        <v>-8</v>
      </c>
      <c r="I2657">
        <v>60.1</v>
      </c>
      <c r="J2657" t="str">
        <f>HYPERLINK("https://climate.onebuilding.org/WMO_Region_4_North_and_Central_America/CAN_Canada/BC_British_Columbia/CAN_BC_Victoria-Univ.of.Victoria.717830_TMYx.2007-2021.zip")</f>
        <v>https://climate.onebuilding.org/WMO_Region_4_North_and_Central_America/CAN_Canada/BC_British_Columbia/CAN_BC_Victoria-Univ.of.Victoria.717830_TMYx.2007-2021.zip</v>
      </c>
    </row>
    <row r="2658" spans="1:10" x14ac:dyDescent="0.25">
      <c r="A2658" t="s">
        <v>6</v>
      </c>
      <c r="B2658" t="s">
        <v>55</v>
      </c>
      <c r="C2658" t="s">
        <v>1334</v>
      </c>
      <c r="D2658">
        <v>717830</v>
      </c>
      <c r="E2658" t="s">
        <v>10</v>
      </c>
      <c r="F2658">
        <v>48.456899999999997</v>
      </c>
      <c r="G2658">
        <v>-123.3047</v>
      </c>
      <c r="H2658">
        <v>-8</v>
      </c>
      <c r="I2658">
        <v>60.1</v>
      </c>
      <c r="J2658" t="str">
        <f>HYPERLINK("https://climate.onebuilding.org/WMO_Region_4_North_and_Central_America/CAN_Canada/BC_British_Columbia/CAN_BC_Victoria-Univ.of.Victoria.717830_TMYx.2009-2023.zip")</f>
        <v>https://climate.onebuilding.org/WMO_Region_4_North_and_Central_America/CAN_Canada/BC_British_Columbia/CAN_BC_Victoria-Univ.of.Victoria.717830_TMYx.2009-2023.zip</v>
      </c>
    </row>
    <row r="2659" spans="1:10" x14ac:dyDescent="0.25">
      <c r="A2659" t="s">
        <v>6</v>
      </c>
      <c r="B2659" t="s">
        <v>55</v>
      </c>
      <c r="C2659" t="s">
        <v>1334</v>
      </c>
      <c r="D2659">
        <v>717830</v>
      </c>
      <c r="E2659" t="s">
        <v>10</v>
      </c>
      <c r="F2659">
        <v>48.456899999999997</v>
      </c>
      <c r="G2659">
        <v>-123.3047</v>
      </c>
      <c r="H2659">
        <v>-8</v>
      </c>
      <c r="I2659">
        <v>60.1</v>
      </c>
      <c r="J2659" t="str">
        <f>HYPERLINK("https://climate.onebuilding.org/WMO_Region_4_North_and_Central_America/CAN_Canada/BC_British_Columbia/CAN_BC_Victoria-Univ.of.Victoria.717830_TMYx.zip")</f>
        <v>https://climate.onebuilding.org/WMO_Region_4_North_and_Central_America/CAN_Canada/BC_British_Columbia/CAN_BC_Victoria-Univ.of.Victoria.717830_TMYx.zip</v>
      </c>
    </row>
    <row r="2660" spans="1:10" x14ac:dyDescent="0.25">
      <c r="A2660" t="s">
        <v>6</v>
      </c>
      <c r="B2660" t="s">
        <v>55</v>
      </c>
      <c r="C2660" t="s">
        <v>1336</v>
      </c>
      <c r="D2660">
        <v>717840</v>
      </c>
      <c r="E2660" t="s">
        <v>1337</v>
      </c>
      <c r="F2660">
        <v>49.346899999999998</v>
      </c>
      <c r="G2660">
        <v>-123.1931</v>
      </c>
      <c r="H2660">
        <v>-8</v>
      </c>
      <c r="I2660">
        <v>170.2</v>
      </c>
      <c r="J2660" t="str">
        <f>HYPERLINK("https://climate.onebuilding.org/WMO_Region_4_North_and_Central_America/CAN_Canada/BC_British_Columbia/CAN_BC_West.Vancouver.717840_TMYx.2004-2018.zip")</f>
        <v>https://climate.onebuilding.org/WMO_Region_4_North_and_Central_America/CAN_Canada/BC_British_Columbia/CAN_BC_West.Vancouver.717840_TMYx.2004-2018.zip</v>
      </c>
    </row>
    <row r="2661" spans="1:10" x14ac:dyDescent="0.25">
      <c r="A2661" t="s">
        <v>6</v>
      </c>
      <c r="B2661" t="s">
        <v>55</v>
      </c>
      <c r="C2661" t="s">
        <v>1336</v>
      </c>
      <c r="D2661">
        <v>717840</v>
      </c>
      <c r="E2661" t="s">
        <v>10</v>
      </c>
      <c r="F2661">
        <v>49.347000000000001</v>
      </c>
      <c r="G2661">
        <v>-123.19329999999999</v>
      </c>
      <c r="H2661">
        <v>-8</v>
      </c>
      <c r="I2661">
        <v>170.2</v>
      </c>
      <c r="J2661" t="str">
        <f>HYPERLINK("https://climate.onebuilding.org/WMO_Region_4_North_and_Central_America/CAN_Canada/BC_British_Columbia/CAN_BC_West.Vancouver.717840_TMYx.2007-2021.zip")</f>
        <v>https://climate.onebuilding.org/WMO_Region_4_North_and_Central_America/CAN_Canada/BC_British_Columbia/CAN_BC_West.Vancouver.717840_TMYx.2007-2021.zip</v>
      </c>
    </row>
    <row r="2662" spans="1:10" x14ac:dyDescent="0.25">
      <c r="A2662" t="s">
        <v>6</v>
      </c>
      <c r="B2662" t="s">
        <v>55</v>
      </c>
      <c r="C2662" t="s">
        <v>1336</v>
      </c>
      <c r="D2662">
        <v>717840</v>
      </c>
      <c r="E2662" t="s">
        <v>10</v>
      </c>
      <c r="F2662">
        <v>49.347000000000001</v>
      </c>
      <c r="G2662">
        <v>-123.19329999999999</v>
      </c>
      <c r="H2662">
        <v>-8</v>
      </c>
      <c r="I2662">
        <v>170.2</v>
      </c>
      <c r="J2662" t="str">
        <f>HYPERLINK("https://climate.onebuilding.org/WMO_Region_4_North_and_Central_America/CAN_Canada/BC_British_Columbia/CAN_BC_West.Vancouver.717840_TMYx.2009-2023.zip")</f>
        <v>https://climate.onebuilding.org/WMO_Region_4_North_and_Central_America/CAN_Canada/BC_British_Columbia/CAN_BC_West.Vancouver.717840_TMYx.2009-2023.zip</v>
      </c>
    </row>
    <row r="2663" spans="1:10" x14ac:dyDescent="0.25">
      <c r="A2663" t="s">
        <v>6</v>
      </c>
      <c r="B2663" t="s">
        <v>55</v>
      </c>
      <c r="C2663" t="s">
        <v>1336</v>
      </c>
      <c r="D2663">
        <v>717840</v>
      </c>
      <c r="E2663" t="s">
        <v>10</v>
      </c>
      <c r="F2663">
        <v>49.347000000000001</v>
      </c>
      <c r="G2663">
        <v>-123.19329999999999</v>
      </c>
      <c r="H2663">
        <v>-8</v>
      </c>
      <c r="I2663">
        <v>170.2</v>
      </c>
      <c r="J2663" t="str">
        <f>HYPERLINK("https://climate.onebuilding.org/WMO_Region_4_North_and_Central_America/CAN_Canada/BC_British_Columbia/CAN_BC_West.Vancouver.717840_TMYx.zip")</f>
        <v>https://climate.onebuilding.org/WMO_Region_4_North_and_Central_America/CAN_Canada/BC_British_Columbia/CAN_BC_West.Vancouver.717840_TMYx.zip</v>
      </c>
    </row>
    <row r="2664" spans="1:10" x14ac:dyDescent="0.25">
      <c r="A2664" t="s">
        <v>6</v>
      </c>
      <c r="B2664" t="s">
        <v>55</v>
      </c>
      <c r="C2664" t="s">
        <v>1338</v>
      </c>
      <c r="D2664">
        <v>717850</v>
      </c>
      <c r="E2664" t="s">
        <v>1339</v>
      </c>
      <c r="F2664">
        <v>49.018099999999997</v>
      </c>
      <c r="G2664">
        <v>-122.7839</v>
      </c>
      <c r="H2664">
        <v>-8</v>
      </c>
      <c r="I2664">
        <v>13</v>
      </c>
      <c r="J2664" t="str">
        <f>HYPERLINK("https://climate.onebuilding.org/WMO_Region_4_North_and_Central_America/CAN_Canada/BC_British_Columbia/CAN_BC_White.Rock.717850_TMYx.2004-2018.zip")</f>
        <v>https://climate.onebuilding.org/WMO_Region_4_North_and_Central_America/CAN_Canada/BC_British_Columbia/CAN_BC_White.Rock.717850_TMYx.2004-2018.zip</v>
      </c>
    </row>
    <row r="2665" spans="1:10" x14ac:dyDescent="0.25">
      <c r="A2665" t="s">
        <v>6</v>
      </c>
      <c r="B2665" t="s">
        <v>55</v>
      </c>
      <c r="C2665" t="s">
        <v>1338</v>
      </c>
      <c r="D2665">
        <v>717850</v>
      </c>
      <c r="E2665" t="s">
        <v>10</v>
      </c>
      <c r="F2665">
        <v>49.018099999999997</v>
      </c>
      <c r="G2665">
        <v>-122.7839</v>
      </c>
      <c r="H2665">
        <v>-8</v>
      </c>
      <c r="I2665">
        <v>13</v>
      </c>
      <c r="J2665" t="str">
        <f>HYPERLINK("https://climate.onebuilding.org/WMO_Region_4_North_and_Central_America/CAN_Canada/BC_British_Columbia/CAN_BC_White.Rock.717850_TMYx.2007-2021.zip")</f>
        <v>https://climate.onebuilding.org/WMO_Region_4_North_and_Central_America/CAN_Canada/BC_British_Columbia/CAN_BC_White.Rock.717850_TMYx.2007-2021.zip</v>
      </c>
    </row>
    <row r="2666" spans="1:10" x14ac:dyDescent="0.25">
      <c r="A2666" t="s">
        <v>6</v>
      </c>
      <c r="B2666" t="s">
        <v>55</v>
      </c>
      <c r="C2666" t="s">
        <v>1338</v>
      </c>
      <c r="D2666">
        <v>717850</v>
      </c>
      <c r="E2666" t="s">
        <v>10</v>
      </c>
      <c r="F2666">
        <v>49.018099999999997</v>
      </c>
      <c r="G2666">
        <v>-122.7839</v>
      </c>
      <c r="H2666">
        <v>-8</v>
      </c>
      <c r="I2666">
        <v>13</v>
      </c>
      <c r="J2666" t="str">
        <f>HYPERLINK("https://climate.onebuilding.org/WMO_Region_4_North_and_Central_America/CAN_Canada/BC_British_Columbia/CAN_BC_White.Rock.717850_TMYx.2009-2023.zip")</f>
        <v>https://climate.onebuilding.org/WMO_Region_4_North_and_Central_America/CAN_Canada/BC_British_Columbia/CAN_BC_White.Rock.717850_TMYx.2009-2023.zip</v>
      </c>
    </row>
    <row r="2667" spans="1:10" x14ac:dyDescent="0.25">
      <c r="A2667" t="s">
        <v>6</v>
      </c>
      <c r="B2667" t="s">
        <v>55</v>
      </c>
      <c r="C2667" t="s">
        <v>1338</v>
      </c>
      <c r="D2667">
        <v>717850</v>
      </c>
      <c r="E2667" t="s">
        <v>10</v>
      </c>
      <c r="F2667">
        <v>49.018099999999997</v>
      </c>
      <c r="G2667">
        <v>-122.7839</v>
      </c>
      <c r="H2667">
        <v>-8</v>
      </c>
      <c r="I2667">
        <v>13</v>
      </c>
      <c r="J2667" t="str">
        <f>HYPERLINK("https://climate.onebuilding.org/WMO_Region_4_North_and_Central_America/CAN_Canada/BC_British_Columbia/CAN_BC_White.Rock.717850_TMYx.zip")</f>
        <v>https://climate.onebuilding.org/WMO_Region_4_North_and_Central_America/CAN_Canada/BC_British_Columbia/CAN_BC_White.Rock.717850_TMYx.zip</v>
      </c>
    </row>
    <row r="2668" spans="1:10" x14ac:dyDescent="0.25">
      <c r="A2668" t="s">
        <v>6</v>
      </c>
      <c r="B2668" t="s">
        <v>55</v>
      </c>
      <c r="C2668" t="s">
        <v>1340</v>
      </c>
      <c r="D2668">
        <v>717860</v>
      </c>
      <c r="E2668" t="s">
        <v>1341</v>
      </c>
      <c r="F2668">
        <v>51.442799999999998</v>
      </c>
      <c r="G2668">
        <v>-116.34439999999999</v>
      </c>
      <c r="H2668">
        <v>-7</v>
      </c>
      <c r="I2668">
        <v>1602</v>
      </c>
      <c r="J2668" t="str">
        <f>HYPERLINK("https://climate.onebuilding.org/WMO_Region_4_North_and_Central_America/CAN_Canada/BC_British_Columbia/CAN_BC_Yoho.Natl.Park.717860_TMYx.2004-2018.zip")</f>
        <v>https://climate.onebuilding.org/WMO_Region_4_North_and_Central_America/CAN_Canada/BC_British_Columbia/CAN_BC_Yoho.Natl.Park.717860_TMYx.2004-2018.zip</v>
      </c>
    </row>
    <row r="2669" spans="1:10" x14ac:dyDescent="0.25">
      <c r="A2669" t="s">
        <v>6</v>
      </c>
      <c r="B2669" t="s">
        <v>55</v>
      </c>
      <c r="C2669" t="s">
        <v>1340</v>
      </c>
      <c r="D2669">
        <v>717860</v>
      </c>
      <c r="E2669" t="s">
        <v>10</v>
      </c>
      <c r="F2669">
        <v>51.433329999999998</v>
      </c>
      <c r="G2669">
        <v>-116.33329999999999</v>
      </c>
      <c r="H2669">
        <v>-7</v>
      </c>
      <c r="I2669">
        <v>1602</v>
      </c>
      <c r="J2669" t="str">
        <f>HYPERLINK("https://climate.onebuilding.org/WMO_Region_4_North_and_Central_America/CAN_Canada/BC_British_Columbia/CAN_BC_Yoho.Natl.Park.717860_TMYx.2007-2021.zip")</f>
        <v>https://climate.onebuilding.org/WMO_Region_4_North_and_Central_America/CAN_Canada/BC_British_Columbia/CAN_BC_Yoho.Natl.Park.717860_TMYx.2007-2021.zip</v>
      </c>
    </row>
    <row r="2670" spans="1:10" x14ac:dyDescent="0.25">
      <c r="A2670" t="s">
        <v>6</v>
      </c>
      <c r="B2670" t="s">
        <v>55</v>
      </c>
      <c r="C2670" t="s">
        <v>1340</v>
      </c>
      <c r="D2670">
        <v>717860</v>
      </c>
      <c r="E2670" t="s">
        <v>10</v>
      </c>
      <c r="F2670">
        <v>51.433329999999998</v>
      </c>
      <c r="G2670">
        <v>-116.33329999999999</v>
      </c>
      <c r="H2670">
        <v>-7</v>
      </c>
      <c r="I2670">
        <v>1602</v>
      </c>
      <c r="J2670" t="str">
        <f>HYPERLINK("https://climate.onebuilding.org/WMO_Region_4_North_and_Central_America/CAN_Canada/BC_British_Columbia/CAN_BC_Yoho.Natl.Park.717860_TMYx.2009-2023.zip")</f>
        <v>https://climate.onebuilding.org/WMO_Region_4_North_and_Central_America/CAN_Canada/BC_British_Columbia/CAN_BC_Yoho.Natl.Park.717860_TMYx.2009-2023.zip</v>
      </c>
    </row>
    <row r="2671" spans="1:10" x14ac:dyDescent="0.25">
      <c r="A2671" t="s">
        <v>6</v>
      </c>
      <c r="B2671" t="s">
        <v>55</v>
      </c>
      <c r="C2671" t="s">
        <v>1340</v>
      </c>
      <c r="D2671">
        <v>717860</v>
      </c>
      <c r="E2671" t="s">
        <v>10</v>
      </c>
      <c r="F2671">
        <v>51.433329999999998</v>
      </c>
      <c r="G2671">
        <v>-116.33329999999999</v>
      </c>
      <c r="H2671">
        <v>-7</v>
      </c>
      <c r="I2671">
        <v>1602</v>
      </c>
      <c r="J2671" t="str">
        <f>HYPERLINK("https://climate.onebuilding.org/WMO_Region_4_North_and_Central_America/CAN_Canada/BC_British_Columbia/CAN_BC_Yoho.Natl.Park.717860_TMYx.zip")</f>
        <v>https://climate.onebuilding.org/WMO_Region_4_North_and_Central_America/CAN_Canada/BC_British_Columbia/CAN_BC_Yoho.Natl.Park.717860_TMYx.zip</v>
      </c>
    </row>
    <row r="2672" spans="1:10" x14ac:dyDescent="0.25">
      <c r="A2672" t="s">
        <v>6</v>
      </c>
      <c r="B2672" t="s">
        <v>45</v>
      </c>
      <c r="C2672" t="s">
        <v>1342</v>
      </c>
      <c r="D2672">
        <v>717870</v>
      </c>
      <c r="E2672" t="s">
        <v>1343</v>
      </c>
      <c r="F2672">
        <v>45.693600000000004</v>
      </c>
      <c r="G2672">
        <v>-65.165000000000006</v>
      </c>
      <c r="H2672">
        <v>-4</v>
      </c>
      <c r="I2672">
        <v>404.3</v>
      </c>
      <c r="J2672" t="str">
        <f>HYPERLINK("https://climate.onebuilding.org/WMO_Region_4_North_and_Central_America/CAN_Canada/NB_New_Brunswick/CAN_NB_Mechanic.Settlement.RCS.717870_TMYx.2004-2018.zip")</f>
        <v>https://climate.onebuilding.org/WMO_Region_4_North_and_Central_America/CAN_Canada/NB_New_Brunswick/CAN_NB_Mechanic.Settlement.RCS.717870_TMYx.2004-2018.zip</v>
      </c>
    </row>
    <row r="2673" spans="1:10" x14ac:dyDescent="0.25">
      <c r="A2673" t="s">
        <v>6</v>
      </c>
      <c r="B2673" t="s">
        <v>45</v>
      </c>
      <c r="C2673" t="s">
        <v>1342</v>
      </c>
      <c r="D2673">
        <v>717870</v>
      </c>
      <c r="E2673" t="s">
        <v>10</v>
      </c>
      <c r="F2673">
        <v>45.693600000000004</v>
      </c>
      <c r="G2673">
        <v>-65.165000000000006</v>
      </c>
      <c r="H2673">
        <v>-4</v>
      </c>
      <c r="I2673">
        <v>404.3</v>
      </c>
      <c r="J2673" t="str">
        <f>HYPERLINK("https://climate.onebuilding.org/WMO_Region_4_North_and_Central_America/CAN_Canada/NB_New_Brunswick/CAN_NB_Mechanic.Settlement.RCS.717870_TMYx.2007-2021.zip")</f>
        <v>https://climate.onebuilding.org/WMO_Region_4_North_and_Central_America/CAN_Canada/NB_New_Brunswick/CAN_NB_Mechanic.Settlement.RCS.717870_TMYx.2007-2021.zip</v>
      </c>
    </row>
    <row r="2674" spans="1:10" x14ac:dyDescent="0.25">
      <c r="A2674" t="s">
        <v>6</v>
      </c>
      <c r="B2674" t="s">
        <v>45</v>
      </c>
      <c r="C2674" t="s">
        <v>1342</v>
      </c>
      <c r="D2674">
        <v>717870</v>
      </c>
      <c r="E2674" t="s">
        <v>10</v>
      </c>
      <c r="F2674">
        <v>45.693600000000004</v>
      </c>
      <c r="G2674">
        <v>-65.165000000000006</v>
      </c>
      <c r="H2674">
        <v>-4</v>
      </c>
      <c r="I2674">
        <v>404.3</v>
      </c>
      <c r="J2674" t="str">
        <f>HYPERLINK("https://climate.onebuilding.org/WMO_Region_4_North_and_Central_America/CAN_Canada/NB_New_Brunswick/CAN_NB_Mechanic.Settlement.RCS.717870_TMYx.2009-2023.zip")</f>
        <v>https://climate.onebuilding.org/WMO_Region_4_North_and_Central_America/CAN_Canada/NB_New_Brunswick/CAN_NB_Mechanic.Settlement.RCS.717870_TMYx.2009-2023.zip</v>
      </c>
    </row>
    <row r="2675" spans="1:10" x14ac:dyDescent="0.25">
      <c r="A2675" t="s">
        <v>6</v>
      </c>
      <c r="B2675" t="s">
        <v>45</v>
      </c>
      <c r="C2675" t="s">
        <v>1342</v>
      </c>
      <c r="D2675">
        <v>717870</v>
      </c>
      <c r="E2675" t="s">
        <v>10</v>
      </c>
      <c r="F2675">
        <v>45.693600000000004</v>
      </c>
      <c r="G2675">
        <v>-65.165000000000006</v>
      </c>
      <c r="H2675">
        <v>-4</v>
      </c>
      <c r="I2675">
        <v>404.3</v>
      </c>
      <c r="J2675" t="str">
        <f>HYPERLINK("https://climate.onebuilding.org/WMO_Region_4_North_and_Central_America/CAN_Canada/NB_New_Brunswick/CAN_NB_Mechanic.Settlement.RCS.717870_TMYx.zip")</f>
        <v>https://climate.onebuilding.org/WMO_Region_4_North_and_Central_America/CAN_Canada/NB_New_Brunswick/CAN_NB_Mechanic.Settlement.RCS.717870_TMYx.zip</v>
      </c>
    </row>
    <row r="2676" spans="1:10" x14ac:dyDescent="0.25">
      <c r="A2676" t="s">
        <v>6</v>
      </c>
      <c r="B2676" t="s">
        <v>17</v>
      </c>
      <c r="C2676" t="s">
        <v>1344</v>
      </c>
      <c r="D2676">
        <v>717880</v>
      </c>
      <c r="E2676" t="s">
        <v>1345</v>
      </c>
      <c r="F2676">
        <v>49.873600000000003</v>
      </c>
      <c r="G2676">
        <v>-111.7328</v>
      </c>
      <c r="H2676">
        <v>-7</v>
      </c>
      <c r="I2676">
        <v>783</v>
      </c>
      <c r="J2676" t="str">
        <f>HYPERLINK("https://climate.onebuilding.org/WMO_Region_4_North_and_Central_America/CAN_Canada/AB_Alberta/CAN_AB_Grassy.Lake.717880_TMYx.2004-2018.zip")</f>
        <v>https://climate.onebuilding.org/WMO_Region_4_North_and_Central_America/CAN_Canada/AB_Alberta/CAN_AB_Grassy.Lake.717880_TMYx.2004-2018.zip</v>
      </c>
    </row>
    <row r="2677" spans="1:10" x14ac:dyDescent="0.25">
      <c r="A2677" t="s">
        <v>6</v>
      </c>
      <c r="B2677" t="s">
        <v>17</v>
      </c>
      <c r="C2677" t="s">
        <v>1344</v>
      </c>
      <c r="D2677">
        <v>717880</v>
      </c>
      <c r="E2677" t="s">
        <v>10</v>
      </c>
      <c r="F2677">
        <v>49.873600000000003</v>
      </c>
      <c r="G2677">
        <v>-111.7328</v>
      </c>
      <c r="H2677">
        <v>-7</v>
      </c>
      <c r="I2677">
        <v>783</v>
      </c>
      <c r="J2677" t="str">
        <f>HYPERLINK("https://climate.onebuilding.org/WMO_Region_4_North_and_Central_America/CAN_Canada/AB_Alberta/CAN_AB_Grassy.Lake.717880_TMYx.2007-2021.zip")</f>
        <v>https://climate.onebuilding.org/WMO_Region_4_North_and_Central_America/CAN_Canada/AB_Alberta/CAN_AB_Grassy.Lake.717880_TMYx.2007-2021.zip</v>
      </c>
    </row>
    <row r="2678" spans="1:10" x14ac:dyDescent="0.25">
      <c r="A2678" t="s">
        <v>6</v>
      </c>
      <c r="B2678" t="s">
        <v>17</v>
      </c>
      <c r="C2678" t="s">
        <v>1344</v>
      </c>
      <c r="D2678">
        <v>717880</v>
      </c>
      <c r="E2678" t="s">
        <v>10</v>
      </c>
      <c r="F2678">
        <v>49.873600000000003</v>
      </c>
      <c r="G2678">
        <v>-111.7328</v>
      </c>
      <c r="H2678">
        <v>-7</v>
      </c>
      <c r="I2678">
        <v>783</v>
      </c>
      <c r="J2678" t="str">
        <f>HYPERLINK("https://climate.onebuilding.org/WMO_Region_4_North_and_Central_America/CAN_Canada/AB_Alberta/CAN_AB_Grassy.Lake.717880_TMYx.2009-2023.zip")</f>
        <v>https://climate.onebuilding.org/WMO_Region_4_North_and_Central_America/CAN_Canada/AB_Alberta/CAN_AB_Grassy.Lake.717880_TMYx.2009-2023.zip</v>
      </c>
    </row>
    <row r="2679" spans="1:10" x14ac:dyDescent="0.25">
      <c r="A2679" t="s">
        <v>6</v>
      </c>
      <c r="B2679" t="s">
        <v>17</v>
      </c>
      <c r="C2679" t="s">
        <v>1344</v>
      </c>
      <c r="D2679">
        <v>717880</v>
      </c>
      <c r="E2679" t="s">
        <v>10</v>
      </c>
      <c r="F2679">
        <v>49.873600000000003</v>
      </c>
      <c r="G2679">
        <v>-111.7328</v>
      </c>
      <c r="H2679">
        <v>-7</v>
      </c>
      <c r="I2679">
        <v>783</v>
      </c>
      <c r="J2679" t="str">
        <f>HYPERLINK("https://climate.onebuilding.org/WMO_Region_4_North_and_Central_America/CAN_Canada/AB_Alberta/CAN_AB_Grassy.Lake.717880_TMYx.zip")</f>
        <v>https://climate.onebuilding.org/WMO_Region_4_North_and_Central_America/CAN_Canada/AB_Alberta/CAN_AB_Grassy.Lake.717880_TMYx.zip</v>
      </c>
    </row>
    <row r="2680" spans="1:10" x14ac:dyDescent="0.25">
      <c r="A2680" t="s">
        <v>6</v>
      </c>
      <c r="B2680" t="s">
        <v>17</v>
      </c>
      <c r="C2680" t="s">
        <v>1346</v>
      </c>
      <c r="D2680">
        <v>717890</v>
      </c>
      <c r="E2680" t="s">
        <v>1347</v>
      </c>
      <c r="F2680">
        <v>49.785800000000002</v>
      </c>
      <c r="G2680">
        <v>-113.3794</v>
      </c>
      <c r="H2680">
        <v>-7</v>
      </c>
      <c r="I2680">
        <v>978</v>
      </c>
      <c r="J2680" t="str">
        <f>HYPERLINK("https://climate.onebuilding.org/WMO_Region_4_North_and_Central_America/CAN_Canada/AB_Alberta/CAN_AB_Fort.Macleod.AgCM.717890_TMYx.2004-2018.zip")</f>
        <v>https://climate.onebuilding.org/WMO_Region_4_North_and_Central_America/CAN_Canada/AB_Alberta/CAN_AB_Fort.Macleod.AgCM.717890_TMYx.2004-2018.zip</v>
      </c>
    </row>
    <row r="2681" spans="1:10" x14ac:dyDescent="0.25">
      <c r="A2681" t="s">
        <v>6</v>
      </c>
      <c r="B2681" t="s">
        <v>17</v>
      </c>
      <c r="C2681" t="s">
        <v>1346</v>
      </c>
      <c r="D2681">
        <v>717890</v>
      </c>
      <c r="E2681" t="s">
        <v>10</v>
      </c>
      <c r="F2681">
        <v>49.785800000000002</v>
      </c>
      <c r="G2681">
        <v>-113.3794</v>
      </c>
      <c r="H2681">
        <v>-7</v>
      </c>
      <c r="I2681">
        <v>978</v>
      </c>
      <c r="J2681" t="str">
        <f>HYPERLINK("https://climate.onebuilding.org/WMO_Region_4_North_and_Central_America/CAN_Canada/AB_Alberta/CAN_AB_Fort.Macleod.AgCM.717890_TMYx.2007-2021.zip")</f>
        <v>https://climate.onebuilding.org/WMO_Region_4_North_and_Central_America/CAN_Canada/AB_Alberta/CAN_AB_Fort.Macleod.AgCM.717890_TMYx.2007-2021.zip</v>
      </c>
    </row>
    <row r="2682" spans="1:10" x14ac:dyDescent="0.25">
      <c r="A2682" t="s">
        <v>6</v>
      </c>
      <c r="B2682" t="s">
        <v>17</v>
      </c>
      <c r="C2682" t="s">
        <v>1346</v>
      </c>
      <c r="D2682">
        <v>717890</v>
      </c>
      <c r="E2682" t="s">
        <v>10</v>
      </c>
      <c r="F2682">
        <v>49.785800000000002</v>
      </c>
      <c r="G2682">
        <v>-113.3794</v>
      </c>
      <c r="H2682">
        <v>-7</v>
      </c>
      <c r="I2682">
        <v>978</v>
      </c>
      <c r="J2682" t="str">
        <f>HYPERLINK("https://climate.onebuilding.org/WMO_Region_4_North_and_Central_America/CAN_Canada/AB_Alberta/CAN_AB_Fort.Macleod.AgCM.717890_TMYx.2009-2023.zip")</f>
        <v>https://climate.onebuilding.org/WMO_Region_4_North_and_Central_America/CAN_Canada/AB_Alberta/CAN_AB_Fort.Macleod.AgCM.717890_TMYx.2009-2023.zip</v>
      </c>
    </row>
    <row r="2683" spans="1:10" x14ac:dyDescent="0.25">
      <c r="A2683" t="s">
        <v>6</v>
      </c>
      <c r="B2683" t="s">
        <v>17</v>
      </c>
      <c r="C2683" t="s">
        <v>1346</v>
      </c>
      <c r="D2683">
        <v>717890</v>
      </c>
      <c r="E2683" t="s">
        <v>10</v>
      </c>
      <c r="F2683">
        <v>49.785800000000002</v>
      </c>
      <c r="G2683">
        <v>-113.3794</v>
      </c>
      <c r="H2683">
        <v>-7</v>
      </c>
      <c r="I2683">
        <v>978</v>
      </c>
      <c r="J2683" t="str">
        <f>HYPERLINK("https://climate.onebuilding.org/WMO_Region_4_North_and_Central_America/CAN_Canada/AB_Alberta/CAN_AB_Fort.Macleod.AgCM.717890_TMYx.zip")</f>
        <v>https://climate.onebuilding.org/WMO_Region_4_North_and_Central_America/CAN_Canada/AB_Alberta/CAN_AB_Fort.Macleod.AgCM.717890_TMYx.zip</v>
      </c>
    </row>
    <row r="2684" spans="1:10" x14ac:dyDescent="0.25">
      <c r="A2684" t="s">
        <v>6</v>
      </c>
      <c r="B2684" t="s">
        <v>17</v>
      </c>
      <c r="C2684" t="s">
        <v>1348</v>
      </c>
      <c r="D2684">
        <v>717910</v>
      </c>
      <c r="E2684" t="s">
        <v>1349</v>
      </c>
      <c r="F2684">
        <v>53.070799999999998</v>
      </c>
      <c r="G2684">
        <v>-110.6208</v>
      </c>
      <c r="H2684">
        <v>-7</v>
      </c>
      <c r="I2684">
        <v>647</v>
      </c>
      <c r="J2684" t="str">
        <f>HYPERLINK("https://climate.onebuilding.org/WMO_Region_4_North_and_Central_America/CAN_Canada/AB_Alberta/CAN_AB_Gilt.Edge.North.AgCM.717910_TMYx.2004-2018.zip")</f>
        <v>https://climate.onebuilding.org/WMO_Region_4_North_and_Central_America/CAN_Canada/AB_Alberta/CAN_AB_Gilt.Edge.North.AgCM.717910_TMYx.2004-2018.zip</v>
      </c>
    </row>
    <row r="2685" spans="1:10" x14ac:dyDescent="0.25">
      <c r="A2685" t="s">
        <v>6</v>
      </c>
      <c r="B2685" t="s">
        <v>17</v>
      </c>
      <c r="C2685" t="s">
        <v>1348</v>
      </c>
      <c r="D2685">
        <v>717910</v>
      </c>
      <c r="E2685" t="s">
        <v>10</v>
      </c>
      <c r="F2685">
        <v>53.070799999999998</v>
      </c>
      <c r="G2685">
        <v>-110.6208</v>
      </c>
      <c r="H2685">
        <v>-7</v>
      </c>
      <c r="I2685">
        <v>647</v>
      </c>
      <c r="J2685" t="str">
        <f>HYPERLINK("https://climate.onebuilding.org/WMO_Region_4_North_and_Central_America/CAN_Canada/AB_Alberta/CAN_AB_Gilt.Edge.North.AgCM.717910_TMYx.2007-2021.zip")</f>
        <v>https://climate.onebuilding.org/WMO_Region_4_North_and_Central_America/CAN_Canada/AB_Alberta/CAN_AB_Gilt.Edge.North.AgCM.717910_TMYx.2007-2021.zip</v>
      </c>
    </row>
    <row r="2686" spans="1:10" x14ac:dyDescent="0.25">
      <c r="A2686" t="s">
        <v>6</v>
      </c>
      <c r="B2686" t="s">
        <v>17</v>
      </c>
      <c r="C2686" t="s">
        <v>1348</v>
      </c>
      <c r="D2686">
        <v>717910</v>
      </c>
      <c r="E2686" t="s">
        <v>10</v>
      </c>
      <c r="F2686">
        <v>53.070799999999998</v>
      </c>
      <c r="G2686">
        <v>-110.6208</v>
      </c>
      <c r="H2686">
        <v>-7</v>
      </c>
      <c r="I2686">
        <v>647</v>
      </c>
      <c r="J2686" t="str">
        <f>HYPERLINK("https://climate.onebuilding.org/WMO_Region_4_North_and_Central_America/CAN_Canada/AB_Alberta/CAN_AB_Gilt.Edge.North.AgCM.717910_TMYx.2009-2023.zip")</f>
        <v>https://climate.onebuilding.org/WMO_Region_4_North_and_Central_America/CAN_Canada/AB_Alberta/CAN_AB_Gilt.Edge.North.AgCM.717910_TMYx.2009-2023.zip</v>
      </c>
    </row>
    <row r="2687" spans="1:10" x14ac:dyDescent="0.25">
      <c r="A2687" t="s">
        <v>6</v>
      </c>
      <c r="B2687" t="s">
        <v>17</v>
      </c>
      <c r="C2687" t="s">
        <v>1348</v>
      </c>
      <c r="D2687">
        <v>717910</v>
      </c>
      <c r="E2687" t="s">
        <v>10</v>
      </c>
      <c r="F2687">
        <v>53.070799999999998</v>
      </c>
      <c r="G2687">
        <v>-110.6208</v>
      </c>
      <c r="H2687">
        <v>-7</v>
      </c>
      <c r="I2687">
        <v>647</v>
      </c>
      <c r="J2687" t="str">
        <f>HYPERLINK("https://climate.onebuilding.org/WMO_Region_4_North_and_Central_America/CAN_Canada/AB_Alberta/CAN_AB_Gilt.Edge.North.AgCM.717910_TMYx.zip")</f>
        <v>https://climate.onebuilding.org/WMO_Region_4_North_and_Central_America/CAN_Canada/AB_Alberta/CAN_AB_Gilt.Edge.North.AgCM.717910_TMYx.zip</v>
      </c>
    </row>
    <row r="2688" spans="1:10" x14ac:dyDescent="0.25">
      <c r="A2688" t="s">
        <v>6</v>
      </c>
      <c r="B2688" t="s">
        <v>17</v>
      </c>
      <c r="C2688" t="s">
        <v>1350</v>
      </c>
      <c r="D2688">
        <v>717920</v>
      </c>
      <c r="E2688" t="s">
        <v>1351</v>
      </c>
      <c r="F2688">
        <v>52.116399999999999</v>
      </c>
      <c r="G2688">
        <v>-112.16419999999999</v>
      </c>
      <c r="H2688">
        <v>-7</v>
      </c>
      <c r="I2688">
        <v>843</v>
      </c>
      <c r="J2688" t="str">
        <f>HYPERLINK("https://climate.onebuilding.org/WMO_Region_4_North_and_Central_America/CAN_Canada/AB_Alberta/CAN_AB_Halkirk.AgCM.717920_TMYx.2004-2018.zip")</f>
        <v>https://climate.onebuilding.org/WMO_Region_4_North_and_Central_America/CAN_Canada/AB_Alberta/CAN_AB_Halkirk.AgCM.717920_TMYx.2004-2018.zip</v>
      </c>
    </row>
    <row r="2689" spans="1:10" x14ac:dyDescent="0.25">
      <c r="A2689" t="s">
        <v>6</v>
      </c>
      <c r="B2689" t="s">
        <v>17</v>
      </c>
      <c r="C2689" t="s">
        <v>1350</v>
      </c>
      <c r="D2689">
        <v>717920</v>
      </c>
      <c r="E2689" t="s">
        <v>10</v>
      </c>
      <c r="F2689">
        <v>52.116399999999999</v>
      </c>
      <c r="G2689">
        <v>-112.16419999999999</v>
      </c>
      <c r="H2689">
        <v>-7</v>
      </c>
      <c r="I2689">
        <v>843</v>
      </c>
      <c r="J2689" t="str">
        <f>HYPERLINK("https://climate.onebuilding.org/WMO_Region_4_North_and_Central_America/CAN_Canada/AB_Alberta/CAN_AB_Halkirk.AgCM.717920_TMYx.2007-2021.zip")</f>
        <v>https://climate.onebuilding.org/WMO_Region_4_North_and_Central_America/CAN_Canada/AB_Alberta/CAN_AB_Halkirk.AgCM.717920_TMYx.2007-2021.zip</v>
      </c>
    </row>
    <row r="2690" spans="1:10" x14ac:dyDescent="0.25">
      <c r="A2690" t="s">
        <v>6</v>
      </c>
      <c r="B2690" t="s">
        <v>17</v>
      </c>
      <c r="C2690" t="s">
        <v>1350</v>
      </c>
      <c r="D2690">
        <v>717920</v>
      </c>
      <c r="E2690" t="s">
        <v>10</v>
      </c>
      <c r="F2690">
        <v>52.116399999999999</v>
      </c>
      <c r="G2690">
        <v>-112.16419999999999</v>
      </c>
      <c r="H2690">
        <v>-7</v>
      </c>
      <c r="I2690">
        <v>843</v>
      </c>
      <c r="J2690" t="str">
        <f>HYPERLINK("https://climate.onebuilding.org/WMO_Region_4_North_and_Central_America/CAN_Canada/AB_Alberta/CAN_AB_Halkirk.AgCM.717920_TMYx.2009-2023.zip")</f>
        <v>https://climate.onebuilding.org/WMO_Region_4_North_and_Central_America/CAN_Canada/AB_Alberta/CAN_AB_Halkirk.AgCM.717920_TMYx.2009-2023.zip</v>
      </c>
    </row>
    <row r="2691" spans="1:10" x14ac:dyDescent="0.25">
      <c r="A2691" t="s">
        <v>6</v>
      </c>
      <c r="B2691" t="s">
        <v>17</v>
      </c>
      <c r="C2691" t="s">
        <v>1350</v>
      </c>
      <c r="D2691">
        <v>717920</v>
      </c>
      <c r="E2691" t="s">
        <v>10</v>
      </c>
      <c r="F2691">
        <v>52.116399999999999</v>
      </c>
      <c r="G2691">
        <v>-112.16419999999999</v>
      </c>
      <c r="H2691">
        <v>-7</v>
      </c>
      <c r="I2691">
        <v>843</v>
      </c>
      <c r="J2691" t="str">
        <f>HYPERLINK("https://climate.onebuilding.org/WMO_Region_4_North_and_Central_America/CAN_Canada/AB_Alberta/CAN_AB_Halkirk.AgCM.717920_TMYx.zip")</f>
        <v>https://climate.onebuilding.org/WMO_Region_4_North_and_Central_America/CAN_Canada/AB_Alberta/CAN_AB_Halkirk.AgCM.717920_TMYx.zip</v>
      </c>
    </row>
    <row r="2692" spans="1:10" x14ac:dyDescent="0.25">
      <c r="A2692" t="s">
        <v>6</v>
      </c>
      <c r="B2692" t="s">
        <v>17</v>
      </c>
      <c r="C2692" t="s">
        <v>1352</v>
      </c>
      <c r="D2692">
        <v>717930</v>
      </c>
      <c r="E2692" t="s">
        <v>1353</v>
      </c>
      <c r="F2692">
        <v>51.779699999999998</v>
      </c>
      <c r="G2692">
        <v>-111.2119</v>
      </c>
      <c r="H2692">
        <v>-7</v>
      </c>
      <c r="I2692">
        <v>780</v>
      </c>
      <c r="J2692" t="str">
        <f>HYPERLINK("https://climate.onebuilding.org/WMO_Region_4_North_and_Central_America/CAN_Canada/AB_Alberta/CAN_AB_Hemaruka.AgCM.717930_TMYx.2004-2018.zip")</f>
        <v>https://climate.onebuilding.org/WMO_Region_4_North_and_Central_America/CAN_Canada/AB_Alberta/CAN_AB_Hemaruka.AgCM.717930_TMYx.2004-2018.zip</v>
      </c>
    </row>
    <row r="2693" spans="1:10" x14ac:dyDescent="0.25">
      <c r="A2693" t="s">
        <v>6</v>
      </c>
      <c r="B2693" t="s">
        <v>17</v>
      </c>
      <c r="C2693" t="s">
        <v>1352</v>
      </c>
      <c r="D2693">
        <v>717930</v>
      </c>
      <c r="E2693" t="s">
        <v>10</v>
      </c>
      <c r="F2693">
        <v>51.779699999999998</v>
      </c>
      <c r="G2693">
        <v>-111.2119</v>
      </c>
      <c r="H2693">
        <v>-7</v>
      </c>
      <c r="I2693">
        <v>780</v>
      </c>
      <c r="J2693" t="str">
        <f>HYPERLINK("https://climate.onebuilding.org/WMO_Region_4_North_and_Central_America/CAN_Canada/AB_Alberta/CAN_AB_Hemaruka.AgCM.717930_TMYx.2007-2021.zip")</f>
        <v>https://climate.onebuilding.org/WMO_Region_4_North_and_Central_America/CAN_Canada/AB_Alberta/CAN_AB_Hemaruka.AgCM.717930_TMYx.2007-2021.zip</v>
      </c>
    </row>
    <row r="2694" spans="1:10" x14ac:dyDescent="0.25">
      <c r="A2694" t="s">
        <v>6</v>
      </c>
      <c r="B2694" t="s">
        <v>17</v>
      </c>
      <c r="C2694" t="s">
        <v>1352</v>
      </c>
      <c r="D2694">
        <v>717930</v>
      </c>
      <c r="E2694" t="s">
        <v>10</v>
      </c>
      <c r="F2694">
        <v>51.779699999999998</v>
      </c>
      <c r="G2694">
        <v>-111.2119</v>
      </c>
      <c r="H2694">
        <v>-7</v>
      </c>
      <c r="I2694">
        <v>780</v>
      </c>
      <c r="J2694" t="str">
        <f>HYPERLINK("https://climate.onebuilding.org/WMO_Region_4_North_and_Central_America/CAN_Canada/AB_Alberta/CAN_AB_Hemaruka.AgCM.717930_TMYx.2009-2023.zip")</f>
        <v>https://climate.onebuilding.org/WMO_Region_4_North_and_Central_America/CAN_Canada/AB_Alberta/CAN_AB_Hemaruka.AgCM.717930_TMYx.2009-2023.zip</v>
      </c>
    </row>
    <row r="2695" spans="1:10" x14ac:dyDescent="0.25">
      <c r="A2695" t="s">
        <v>6</v>
      </c>
      <c r="B2695" t="s">
        <v>17</v>
      </c>
      <c r="C2695" t="s">
        <v>1352</v>
      </c>
      <c r="D2695">
        <v>717930</v>
      </c>
      <c r="E2695" t="s">
        <v>10</v>
      </c>
      <c r="F2695">
        <v>51.779699999999998</v>
      </c>
      <c r="G2695">
        <v>-111.2119</v>
      </c>
      <c r="H2695">
        <v>-7</v>
      </c>
      <c r="I2695">
        <v>780</v>
      </c>
      <c r="J2695" t="str">
        <f>HYPERLINK("https://climate.onebuilding.org/WMO_Region_4_North_and_Central_America/CAN_Canada/AB_Alberta/CAN_AB_Hemaruka.AgCM.717930_TMYx.zip")</f>
        <v>https://climate.onebuilding.org/WMO_Region_4_North_and_Central_America/CAN_Canada/AB_Alberta/CAN_AB_Hemaruka.AgCM.717930_TMYx.zip</v>
      </c>
    </row>
    <row r="2696" spans="1:10" x14ac:dyDescent="0.25">
      <c r="A2696" t="s">
        <v>6</v>
      </c>
      <c r="B2696" t="s">
        <v>17</v>
      </c>
      <c r="C2696" t="s">
        <v>1354</v>
      </c>
      <c r="D2696">
        <v>717940</v>
      </c>
      <c r="E2696" t="s">
        <v>1355</v>
      </c>
      <c r="F2696">
        <v>52.578099999999999</v>
      </c>
      <c r="G2696">
        <v>-110.78360000000001</v>
      </c>
      <c r="H2696">
        <v>-7</v>
      </c>
      <c r="I2696">
        <v>703</v>
      </c>
      <c r="J2696" t="str">
        <f>HYPERLINK("https://climate.onebuilding.org/WMO_Region_4_North_and_Central_America/CAN_Canada/AB_Alberta/CAN_AB_Hughenden.AgCM.717940_TMYx.2004-2018.zip")</f>
        <v>https://climate.onebuilding.org/WMO_Region_4_North_and_Central_America/CAN_Canada/AB_Alberta/CAN_AB_Hughenden.AgCM.717940_TMYx.2004-2018.zip</v>
      </c>
    </row>
    <row r="2697" spans="1:10" x14ac:dyDescent="0.25">
      <c r="A2697" t="s">
        <v>6</v>
      </c>
      <c r="B2697" t="s">
        <v>17</v>
      </c>
      <c r="C2697" t="s">
        <v>1354</v>
      </c>
      <c r="D2697">
        <v>717940</v>
      </c>
      <c r="E2697" t="s">
        <v>10</v>
      </c>
      <c r="F2697">
        <v>52.578099999999999</v>
      </c>
      <c r="G2697">
        <v>-110.78360000000001</v>
      </c>
      <c r="H2697">
        <v>-7</v>
      </c>
      <c r="I2697">
        <v>703</v>
      </c>
      <c r="J2697" t="str">
        <f>HYPERLINK("https://climate.onebuilding.org/WMO_Region_4_North_and_Central_America/CAN_Canada/AB_Alberta/CAN_AB_Hughenden.AgCM.717940_TMYx.2007-2021.zip")</f>
        <v>https://climate.onebuilding.org/WMO_Region_4_North_and_Central_America/CAN_Canada/AB_Alberta/CAN_AB_Hughenden.AgCM.717940_TMYx.2007-2021.zip</v>
      </c>
    </row>
    <row r="2698" spans="1:10" x14ac:dyDescent="0.25">
      <c r="A2698" t="s">
        <v>6</v>
      </c>
      <c r="B2698" t="s">
        <v>17</v>
      </c>
      <c r="C2698" t="s">
        <v>1354</v>
      </c>
      <c r="D2698">
        <v>717940</v>
      </c>
      <c r="E2698" t="s">
        <v>10</v>
      </c>
      <c r="F2698">
        <v>52.578099999999999</v>
      </c>
      <c r="G2698">
        <v>-110.78360000000001</v>
      </c>
      <c r="H2698">
        <v>-7</v>
      </c>
      <c r="I2698">
        <v>703</v>
      </c>
      <c r="J2698" t="str">
        <f>HYPERLINK("https://climate.onebuilding.org/WMO_Region_4_North_and_Central_America/CAN_Canada/AB_Alberta/CAN_AB_Hughenden.AgCM.717940_TMYx.2009-2023.zip")</f>
        <v>https://climate.onebuilding.org/WMO_Region_4_North_and_Central_America/CAN_Canada/AB_Alberta/CAN_AB_Hughenden.AgCM.717940_TMYx.2009-2023.zip</v>
      </c>
    </row>
    <row r="2699" spans="1:10" x14ac:dyDescent="0.25">
      <c r="A2699" t="s">
        <v>6</v>
      </c>
      <c r="B2699" t="s">
        <v>17</v>
      </c>
      <c r="C2699" t="s">
        <v>1354</v>
      </c>
      <c r="D2699">
        <v>717940</v>
      </c>
      <c r="E2699" t="s">
        <v>10</v>
      </c>
      <c r="F2699">
        <v>52.578099999999999</v>
      </c>
      <c r="G2699">
        <v>-110.78360000000001</v>
      </c>
      <c r="H2699">
        <v>-7</v>
      </c>
      <c r="I2699">
        <v>703</v>
      </c>
      <c r="J2699" t="str">
        <f>HYPERLINK("https://climate.onebuilding.org/WMO_Region_4_North_and_Central_America/CAN_Canada/AB_Alberta/CAN_AB_Hughenden.AgCM.717940_TMYx.zip")</f>
        <v>https://climate.onebuilding.org/WMO_Region_4_North_and_Central_America/CAN_Canada/AB_Alberta/CAN_AB_Hughenden.AgCM.717940_TMYx.zip</v>
      </c>
    </row>
    <row r="2700" spans="1:10" x14ac:dyDescent="0.25">
      <c r="A2700" t="s">
        <v>6</v>
      </c>
      <c r="B2700" t="s">
        <v>17</v>
      </c>
      <c r="C2700" t="s">
        <v>1356</v>
      </c>
      <c r="D2700">
        <v>717950</v>
      </c>
      <c r="E2700" t="s">
        <v>1357</v>
      </c>
      <c r="F2700">
        <v>49.989199999999997</v>
      </c>
      <c r="G2700">
        <v>-110.26139999999999</v>
      </c>
      <c r="H2700">
        <v>-7</v>
      </c>
      <c r="I2700">
        <v>795</v>
      </c>
      <c r="J2700" t="str">
        <f>HYPERLINK("https://climate.onebuilding.org/WMO_Region_4_North_and_Central_America/CAN_Canada/AB_Alberta/CAN_AB_Irvine.AgCM.717950_TMYx.2004-2018.zip")</f>
        <v>https://climate.onebuilding.org/WMO_Region_4_North_and_Central_America/CAN_Canada/AB_Alberta/CAN_AB_Irvine.AgCM.717950_TMYx.2004-2018.zip</v>
      </c>
    </row>
    <row r="2701" spans="1:10" x14ac:dyDescent="0.25">
      <c r="A2701" t="s">
        <v>6</v>
      </c>
      <c r="B2701" t="s">
        <v>17</v>
      </c>
      <c r="C2701" t="s">
        <v>1356</v>
      </c>
      <c r="D2701">
        <v>717950</v>
      </c>
      <c r="E2701" t="s">
        <v>10</v>
      </c>
      <c r="F2701">
        <v>49.989199999999997</v>
      </c>
      <c r="G2701">
        <v>-110.26139999999999</v>
      </c>
      <c r="H2701">
        <v>-7</v>
      </c>
      <c r="I2701">
        <v>795</v>
      </c>
      <c r="J2701" t="str">
        <f>HYPERLINK("https://climate.onebuilding.org/WMO_Region_4_North_and_Central_America/CAN_Canada/AB_Alberta/CAN_AB_Irvine.AgCM.717950_TMYx.2007-2021.zip")</f>
        <v>https://climate.onebuilding.org/WMO_Region_4_North_and_Central_America/CAN_Canada/AB_Alberta/CAN_AB_Irvine.AgCM.717950_TMYx.2007-2021.zip</v>
      </c>
    </row>
    <row r="2702" spans="1:10" x14ac:dyDescent="0.25">
      <c r="A2702" t="s">
        <v>6</v>
      </c>
      <c r="B2702" t="s">
        <v>17</v>
      </c>
      <c r="C2702" t="s">
        <v>1356</v>
      </c>
      <c r="D2702">
        <v>717950</v>
      </c>
      <c r="E2702" t="s">
        <v>10</v>
      </c>
      <c r="F2702">
        <v>49.989199999999997</v>
      </c>
      <c r="G2702">
        <v>-110.26139999999999</v>
      </c>
      <c r="H2702">
        <v>-7</v>
      </c>
      <c r="I2702">
        <v>795</v>
      </c>
      <c r="J2702" t="str">
        <f>HYPERLINK("https://climate.onebuilding.org/WMO_Region_4_North_and_Central_America/CAN_Canada/AB_Alberta/CAN_AB_Irvine.AgCM.717950_TMYx.2009-2023.zip")</f>
        <v>https://climate.onebuilding.org/WMO_Region_4_North_and_Central_America/CAN_Canada/AB_Alberta/CAN_AB_Irvine.AgCM.717950_TMYx.2009-2023.zip</v>
      </c>
    </row>
    <row r="2703" spans="1:10" x14ac:dyDescent="0.25">
      <c r="A2703" t="s">
        <v>6</v>
      </c>
      <c r="B2703" t="s">
        <v>17</v>
      </c>
      <c r="C2703" t="s">
        <v>1356</v>
      </c>
      <c r="D2703">
        <v>717950</v>
      </c>
      <c r="E2703" t="s">
        <v>10</v>
      </c>
      <c r="F2703">
        <v>49.989199999999997</v>
      </c>
      <c r="G2703">
        <v>-110.26139999999999</v>
      </c>
      <c r="H2703">
        <v>-7</v>
      </c>
      <c r="I2703">
        <v>795</v>
      </c>
      <c r="J2703" t="str">
        <f>HYPERLINK("https://climate.onebuilding.org/WMO_Region_4_North_and_Central_America/CAN_Canada/AB_Alberta/CAN_AB_Irvine.AgCM.717950_TMYx.zip")</f>
        <v>https://climate.onebuilding.org/WMO_Region_4_North_and_Central_America/CAN_Canada/AB_Alberta/CAN_AB_Irvine.AgCM.717950_TMYx.zip</v>
      </c>
    </row>
    <row r="2704" spans="1:10" x14ac:dyDescent="0.25">
      <c r="A2704" t="s">
        <v>6</v>
      </c>
      <c r="B2704" t="s">
        <v>17</v>
      </c>
      <c r="C2704" t="s">
        <v>1358</v>
      </c>
      <c r="D2704">
        <v>717960</v>
      </c>
      <c r="E2704" t="s">
        <v>1359</v>
      </c>
      <c r="F2704">
        <v>52.290300000000002</v>
      </c>
      <c r="G2704">
        <v>-111.1131</v>
      </c>
      <c r="H2704">
        <v>-7</v>
      </c>
      <c r="I2704">
        <v>720</v>
      </c>
      <c r="J2704" t="str">
        <f>HYPERLINK("https://climate.onebuilding.org/WMO_Region_4_North_and_Central_America/CAN_Canada/AB_Alberta/CAN_AB_Kessler.AgCM.717960_TMYx.2004-2018.zip")</f>
        <v>https://climate.onebuilding.org/WMO_Region_4_North_and_Central_America/CAN_Canada/AB_Alberta/CAN_AB_Kessler.AgCM.717960_TMYx.2004-2018.zip</v>
      </c>
    </row>
    <row r="2705" spans="1:10" x14ac:dyDescent="0.25">
      <c r="A2705" t="s">
        <v>6</v>
      </c>
      <c r="B2705" t="s">
        <v>17</v>
      </c>
      <c r="C2705" t="s">
        <v>1358</v>
      </c>
      <c r="D2705">
        <v>717960</v>
      </c>
      <c r="E2705" t="s">
        <v>10</v>
      </c>
      <c r="F2705">
        <v>52.290300000000002</v>
      </c>
      <c r="G2705">
        <v>-111.1131</v>
      </c>
      <c r="H2705">
        <v>-7</v>
      </c>
      <c r="I2705">
        <v>720</v>
      </c>
      <c r="J2705" t="str">
        <f>HYPERLINK("https://climate.onebuilding.org/WMO_Region_4_North_and_Central_America/CAN_Canada/AB_Alberta/CAN_AB_Kessler.AgCM.717960_TMYx.2007-2021.zip")</f>
        <v>https://climate.onebuilding.org/WMO_Region_4_North_and_Central_America/CAN_Canada/AB_Alberta/CAN_AB_Kessler.AgCM.717960_TMYx.2007-2021.zip</v>
      </c>
    </row>
    <row r="2706" spans="1:10" x14ac:dyDescent="0.25">
      <c r="A2706" t="s">
        <v>6</v>
      </c>
      <c r="B2706" t="s">
        <v>17</v>
      </c>
      <c r="C2706" t="s">
        <v>1358</v>
      </c>
      <c r="D2706">
        <v>717960</v>
      </c>
      <c r="E2706" t="s">
        <v>10</v>
      </c>
      <c r="F2706">
        <v>52.290300000000002</v>
      </c>
      <c r="G2706">
        <v>-111.1131</v>
      </c>
      <c r="H2706">
        <v>-7</v>
      </c>
      <c r="I2706">
        <v>720</v>
      </c>
      <c r="J2706" t="str">
        <f>HYPERLINK("https://climate.onebuilding.org/WMO_Region_4_North_and_Central_America/CAN_Canada/AB_Alberta/CAN_AB_Kessler.AgCM.717960_TMYx.2009-2023.zip")</f>
        <v>https://climate.onebuilding.org/WMO_Region_4_North_and_Central_America/CAN_Canada/AB_Alberta/CAN_AB_Kessler.AgCM.717960_TMYx.2009-2023.zip</v>
      </c>
    </row>
    <row r="2707" spans="1:10" x14ac:dyDescent="0.25">
      <c r="A2707" t="s">
        <v>6</v>
      </c>
      <c r="B2707" t="s">
        <v>17</v>
      </c>
      <c r="C2707" t="s">
        <v>1358</v>
      </c>
      <c r="D2707">
        <v>717960</v>
      </c>
      <c r="E2707" t="s">
        <v>10</v>
      </c>
      <c r="F2707">
        <v>52.290300000000002</v>
      </c>
      <c r="G2707">
        <v>-111.1131</v>
      </c>
      <c r="H2707">
        <v>-7</v>
      </c>
      <c r="I2707">
        <v>720</v>
      </c>
      <c r="J2707" t="str">
        <f>HYPERLINK("https://climate.onebuilding.org/WMO_Region_4_North_and_Central_America/CAN_Canada/AB_Alberta/CAN_AB_Kessler.AgCM.717960_TMYx.zip")</f>
        <v>https://climate.onebuilding.org/WMO_Region_4_North_and_Central_America/CAN_Canada/AB_Alberta/CAN_AB_Kessler.AgCM.717960_TMYx.zip</v>
      </c>
    </row>
    <row r="2708" spans="1:10" x14ac:dyDescent="0.25">
      <c r="A2708" t="s">
        <v>6</v>
      </c>
      <c r="B2708" t="s">
        <v>17</v>
      </c>
      <c r="C2708" t="s">
        <v>1360</v>
      </c>
      <c r="D2708">
        <v>717970</v>
      </c>
      <c r="E2708" t="s">
        <v>1361</v>
      </c>
      <c r="F2708">
        <v>53.353299999999997</v>
      </c>
      <c r="G2708">
        <v>-110.4161</v>
      </c>
      <c r="H2708">
        <v>-7</v>
      </c>
      <c r="I2708">
        <v>664</v>
      </c>
      <c r="J2708" t="str">
        <f>HYPERLINK("https://climate.onebuilding.org/WMO_Region_4_North_and_Central_America/CAN_Canada/AB_Alberta/CAN_AB_Kitscoty.AgCM.717970_TMYx.2004-2018.zip")</f>
        <v>https://climate.onebuilding.org/WMO_Region_4_North_and_Central_America/CAN_Canada/AB_Alberta/CAN_AB_Kitscoty.AgCM.717970_TMYx.2004-2018.zip</v>
      </c>
    </row>
    <row r="2709" spans="1:10" x14ac:dyDescent="0.25">
      <c r="A2709" t="s">
        <v>6</v>
      </c>
      <c r="B2709" t="s">
        <v>17</v>
      </c>
      <c r="C2709" t="s">
        <v>1360</v>
      </c>
      <c r="D2709">
        <v>717970</v>
      </c>
      <c r="E2709" t="s">
        <v>10</v>
      </c>
      <c r="F2709">
        <v>53.353299999999997</v>
      </c>
      <c r="G2709">
        <v>-110.4161</v>
      </c>
      <c r="H2709">
        <v>-7</v>
      </c>
      <c r="I2709">
        <v>664</v>
      </c>
      <c r="J2709" t="str">
        <f>HYPERLINK("https://climate.onebuilding.org/WMO_Region_4_North_and_Central_America/CAN_Canada/AB_Alberta/CAN_AB_Kitscoty.AgCM.717970_TMYx.2007-2021.zip")</f>
        <v>https://climate.onebuilding.org/WMO_Region_4_North_and_Central_America/CAN_Canada/AB_Alberta/CAN_AB_Kitscoty.AgCM.717970_TMYx.2007-2021.zip</v>
      </c>
    </row>
    <row r="2710" spans="1:10" x14ac:dyDescent="0.25">
      <c r="A2710" t="s">
        <v>6</v>
      </c>
      <c r="B2710" t="s">
        <v>17</v>
      </c>
      <c r="C2710" t="s">
        <v>1360</v>
      </c>
      <c r="D2710">
        <v>717970</v>
      </c>
      <c r="E2710" t="s">
        <v>10</v>
      </c>
      <c r="F2710">
        <v>53.353299999999997</v>
      </c>
      <c r="G2710">
        <v>-110.4161</v>
      </c>
      <c r="H2710">
        <v>-7</v>
      </c>
      <c r="I2710">
        <v>664</v>
      </c>
      <c r="J2710" t="str">
        <f>HYPERLINK("https://climate.onebuilding.org/WMO_Region_4_North_and_Central_America/CAN_Canada/AB_Alberta/CAN_AB_Kitscoty.AgCM.717970_TMYx.2009-2023.zip")</f>
        <v>https://climate.onebuilding.org/WMO_Region_4_North_and_Central_America/CAN_Canada/AB_Alberta/CAN_AB_Kitscoty.AgCM.717970_TMYx.2009-2023.zip</v>
      </c>
    </row>
    <row r="2711" spans="1:10" x14ac:dyDescent="0.25">
      <c r="A2711" t="s">
        <v>6</v>
      </c>
      <c r="B2711" t="s">
        <v>17</v>
      </c>
      <c r="C2711" t="s">
        <v>1360</v>
      </c>
      <c r="D2711">
        <v>717970</v>
      </c>
      <c r="E2711" t="s">
        <v>10</v>
      </c>
      <c r="F2711">
        <v>53.353299999999997</v>
      </c>
      <c r="G2711">
        <v>-110.4161</v>
      </c>
      <c r="H2711">
        <v>-7</v>
      </c>
      <c r="I2711">
        <v>664</v>
      </c>
      <c r="J2711" t="str">
        <f>HYPERLINK("https://climate.onebuilding.org/WMO_Region_4_North_and_Central_America/CAN_Canada/AB_Alberta/CAN_AB_Kitscoty.AgCM.717970_TMYx.zip")</f>
        <v>https://climate.onebuilding.org/WMO_Region_4_North_and_Central_America/CAN_Canada/AB_Alberta/CAN_AB_Kitscoty.AgCM.717970_TMYx.zip</v>
      </c>
    </row>
    <row r="2712" spans="1:10" x14ac:dyDescent="0.25">
      <c r="A2712" t="s">
        <v>6</v>
      </c>
      <c r="B2712" t="s">
        <v>55</v>
      </c>
      <c r="C2712" t="s">
        <v>1362</v>
      </c>
      <c r="D2712">
        <v>717980</v>
      </c>
      <c r="E2712" t="s">
        <v>1363</v>
      </c>
      <c r="F2712">
        <v>48.432000000000002</v>
      </c>
      <c r="G2712">
        <v>-123.43940000000001</v>
      </c>
      <c r="H2712">
        <v>-8</v>
      </c>
      <c r="I2712">
        <v>3</v>
      </c>
      <c r="J2712" t="str">
        <f>HYPERLINK("https://climate.onebuilding.org/WMO_Region_4_North_and_Central_America/CAN_Canada/BC_British_Columbia/CAN_BC_Esquimalt.Harbour.717980_TMYx.2004-2018.zip")</f>
        <v>https://climate.onebuilding.org/WMO_Region_4_North_and_Central_America/CAN_Canada/BC_British_Columbia/CAN_BC_Esquimalt.Harbour.717980_TMYx.2004-2018.zip</v>
      </c>
    </row>
    <row r="2713" spans="1:10" x14ac:dyDescent="0.25">
      <c r="A2713" t="s">
        <v>6</v>
      </c>
      <c r="B2713" t="s">
        <v>55</v>
      </c>
      <c r="C2713" t="s">
        <v>1362</v>
      </c>
      <c r="D2713">
        <v>717980</v>
      </c>
      <c r="E2713" t="s">
        <v>10</v>
      </c>
      <c r="F2713">
        <v>48.432000000000002</v>
      </c>
      <c r="G2713">
        <v>-123.43899999999999</v>
      </c>
      <c r="H2713">
        <v>-8</v>
      </c>
      <c r="I2713">
        <v>3</v>
      </c>
      <c r="J2713" t="str">
        <f>HYPERLINK("https://climate.onebuilding.org/WMO_Region_4_North_and_Central_America/CAN_Canada/BC_British_Columbia/CAN_BC_Esquimalt.Harbour.717980_TMYx.2007-2021.zip")</f>
        <v>https://climate.onebuilding.org/WMO_Region_4_North_and_Central_America/CAN_Canada/BC_British_Columbia/CAN_BC_Esquimalt.Harbour.717980_TMYx.2007-2021.zip</v>
      </c>
    </row>
    <row r="2714" spans="1:10" x14ac:dyDescent="0.25">
      <c r="A2714" t="s">
        <v>6</v>
      </c>
      <c r="B2714" t="s">
        <v>55</v>
      </c>
      <c r="C2714" t="s">
        <v>1362</v>
      </c>
      <c r="D2714">
        <v>717980</v>
      </c>
      <c r="E2714" t="s">
        <v>10</v>
      </c>
      <c r="F2714">
        <v>48.432000000000002</v>
      </c>
      <c r="G2714">
        <v>-123.43899999999999</v>
      </c>
      <c r="H2714">
        <v>-8</v>
      </c>
      <c r="I2714">
        <v>3</v>
      </c>
      <c r="J2714" t="str">
        <f>HYPERLINK("https://climate.onebuilding.org/WMO_Region_4_North_and_Central_America/CAN_Canada/BC_British_Columbia/CAN_BC_Esquimalt.Harbour.717980_TMYx.2009-2023.zip")</f>
        <v>https://climate.onebuilding.org/WMO_Region_4_North_and_Central_America/CAN_Canada/BC_British_Columbia/CAN_BC_Esquimalt.Harbour.717980_TMYx.2009-2023.zip</v>
      </c>
    </row>
    <row r="2715" spans="1:10" x14ac:dyDescent="0.25">
      <c r="A2715" t="s">
        <v>6</v>
      </c>
      <c r="B2715" t="s">
        <v>55</v>
      </c>
      <c r="C2715" t="s">
        <v>1362</v>
      </c>
      <c r="D2715">
        <v>717980</v>
      </c>
      <c r="E2715" t="s">
        <v>10</v>
      </c>
      <c r="F2715">
        <v>48.432000000000002</v>
      </c>
      <c r="G2715">
        <v>-123.43899999999999</v>
      </c>
      <c r="H2715">
        <v>-8</v>
      </c>
      <c r="I2715">
        <v>3</v>
      </c>
      <c r="J2715" t="str">
        <f>HYPERLINK("https://climate.onebuilding.org/WMO_Region_4_North_and_Central_America/CAN_Canada/BC_British_Columbia/CAN_BC_Esquimalt.Harbour.717980_TMYx.zip")</f>
        <v>https://climate.onebuilding.org/WMO_Region_4_North_and_Central_America/CAN_Canada/BC_British_Columbia/CAN_BC_Esquimalt.Harbour.717980_TMYx.zip</v>
      </c>
    </row>
    <row r="2716" spans="1:10" x14ac:dyDescent="0.25">
      <c r="A2716" t="s">
        <v>6</v>
      </c>
      <c r="B2716" t="s">
        <v>55</v>
      </c>
      <c r="C2716" t="s">
        <v>1364</v>
      </c>
      <c r="D2716">
        <v>717990</v>
      </c>
      <c r="E2716" t="s">
        <v>1365</v>
      </c>
      <c r="F2716">
        <v>48.647199999999998</v>
      </c>
      <c r="G2716">
        <v>-123.4258</v>
      </c>
      <c r="H2716">
        <v>-8</v>
      </c>
      <c r="I2716">
        <v>19.5</v>
      </c>
      <c r="J2716" t="str">
        <f>HYPERLINK("https://climate.onebuilding.org/WMO_Region_4_North_and_Central_America/CAN_Canada/BC_British_Columbia/CAN_BC_Victoria.Intl.AP.717990_TMYx.2004-2018.zip")</f>
        <v>https://climate.onebuilding.org/WMO_Region_4_North_and_Central_America/CAN_Canada/BC_British_Columbia/CAN_BC_Victoria.Intl.AP.717990_TMYx.2004-2018.zip</v>
      </c>
    </row>
    <row r="2717" spans="1:10" x14ac:dyDescent="0.25">
      <c r="A2717" t="s">
        <v>6</v>
      </c>
      <c r="B2717" t="s">
        <v>55</v>
      </c>
      <c r="C2717" t="s">
        <v>1364</v>
      </c>
      <c r="D2717">
        <v>717990</v>
      </c>
      <c r="E2717" t="s">
        <v>10</v>
      </c>
      <c r="F2717">
        <v>48.647199999999998</v>
      </c>
      <c r="G2717">
        <v>-123.4258</v>
      </c>
      <c r="H2717">
        <v>-8</v>
      </c>
      <c r="I2717">
        <v>19.5</v>
      </c>
      <c r="J2717" t="str">
        <f>HYPERLINK("https://climate.onebuilding.org/WMO_Region_4_North_and_Central_America/CAN_Canada/BC_British_Columbia/CAN_BC_Victoria.Intl.AP.717990_TMYx.2007-2021.zip")</f>
        <v>https://climate.onebuilding.org/WMO_Region_4_North_and_Central_America/CAN_Canada/BC_British_Columbia/CAN_BC_Victoria.Intl.AP.717990_TMYx.2007-2021.zip</v>
      </c>
    </row>
    <row r="2718" spans="1:10" x14ac:dyDescent="0.25">
      <c r="A2718" t="s">
        <v>6</v>
      </c>
      <c r="B2718" t="s">
        <v>55</v>
      </c>
      <c r="C2718" t="s">
        <v>1364</v>
      </c>
      <c r="D2718">
        <v>717990</v>
      </c>
      <c r="E2718" t="s">
        <v>10</v>
      </c>
      <c r="F2718">
        <v>48.647199999999998</v>
      </c>
      <c r="G2718">
        <v>-123.4258</v>
      </c>
      <c r="H2718">
        <v>-8</v>
      </c>
      <c r="I2718">
        <v>19.5</v>
      </c>
      <c r="J2718" t="str">
        <f>HYPERLINK("https://climate.onebuilding.org/WMO_Region_4_North_and_Central_America/CAN_Canada/BC_British_Columbia/CAN_BC_Victoria.Intl.AP.717990_TMYx.2009-2023.zip")</f>
        <v>https://climate.onebuilding.org/WMO_Region_4_North_and_Central_America/CAN_Canada/BC_British_Columbia/CAN_BC_Victoria.Intl.AP.717990_TMYx.2009-2023.zip</v>
      </c>
    </row>
    <row r="2719" spans="1:10" x14ac:dyDescent="0.25">
      <c r="A2719" t="s">
        <v>6</v>
      </c>
      <c r="B2719" t="s">
        <v>55</v>
      </c>
      <c r="C2719" t="s">
        <v>1364</v>
      </c>
      <c r="D2719">
        <v>717990</v>
      </c>
      <c r="E2719" t="s">
        <v>10</v>
      </c>
      <c r="F2719">
        <v>48.647199999999998</v>
      </c>
      <c r="G2719">
        <v>-123.4258</v>
      </c>
      <c r="H2719">
        <v>-8</v>
      </c>
      <c r="I2719">
        <v>19.5</v>
      </c>
      <c r="J2719" t="str">
        <f>HYPERLINK("https://climate.onebuilding.org/WMO_Region_4_North_and_Central_America/CAN_Canada/BC_British_Columbia/CAN_BC_Victoria.Intl.AP.717990_TMYx.zip")</f>
        <v>https://climate.onebuilding.org/WMO_Region_4_North_and_Central_America/CAN_Canada/BC_British_Columbia/CAN_BC_Victoria.Intl.AP.717990_TMYx.zip</v>
      </c>
    </row>
    <row r="2720" spans="1:10" x14ac:dyDescent="0.25">
      <c r="A2720" t="s">
        <v>6</v>
      </c>
      <c r="B2720" t="s">
        <v>11</v>
      </c>
      <c r="C2720" t="s">
        <v>1366</v>
      </c>
      <c r="D2720">
        <v>718000</v>
      </c>
      <c r="E2720" t="s">
        <v>1367</v>
      </c>
      <c r="F2720">
        <v>46.66</v>
      </c>
      <c r="G2720">
        <v>-53.0764</v>
      </c>
      <c r="H2720">
        <v>-3.5</v>
      </c>
      <c r="I2720">
        <v>27</v>
      </c>
      <c r="J2720" t="str">
        <f>HYPERLINK("https://climate.onebuilding.org/WMO_Region_4_North_and_Central_America/CAN_Canada/NL_Newfoundland_and_Labrador/CAN_NL_Cape.Race.718000_TMYx.2004-2018.zip")</f>
        <v>https://climate.onebuilding.org/WMO_Region_4_North_and_Central_America/CAN_Canada/NL_Newfoundland_and_Labrador/CAN_NL_Cape.Race.718000_TMYx.2004-2018.zip</v>
      </c>
    </row>
    <row r="2721" spans="1:10" x14ac:dyDescent="0.25">
      <c r="A2721" t="s">
        <v>6</v>
      </c>
      <c r="B2721" t="s">
        <v>11</v>
      </c>
      <c r="C2721" t="s">
        <v>1366</v>
      </c>
      <c r="D2721">
        <v>718000</v>
      </c>
      <c r="E2721" t="s">
        <v>10</v>
      </c>
      <c r="F2721">
        <v>46.660200000000003</v>
      </c>
      <c r="G2721">
        <v>-53.075499999999998</v>
      </c>
      <c r="H2721">
        <v>-3.5</v>
      </c>
      <c r="I2721">
        <v>27</v>
      </c>
      <c r="J2721" t="str">
        <f>HYPERLINK("https://climate.onebuilding.org/WMO_Region_4_North_and_Central_America/CAN_Canada/NL_Newfoundland_and_Labrador/CAN_NL_Cape.Race.718000_TMYx.2007-2021.zip")</f>
        <v>https://climate.onebuilding.org/WMO_Region_4_North_and_Central_America/CAN_Canada/NL_Newfoundland_and_Labrador/CAN_NL_Cape.Race.718000_TMYx.2007-2021.zip</v>
      </c>
    </row>
    <row r="2722" spans="1:10" x14ac:dyDescent="0.25">
      <c r="A2722" t="s">
        <v>6</v>
      </c>
      <c r="B2722" t="s">
        <v>11</v>
      </c>
      <c r="C2722" t="s">
        <v>1366</v>
      </c>
      <c r="D2722">
        <v>718000</v>
      </c>
      <c r="E2722" t="s">
        <v>10</v>
      </c>
      <c r="F2722">
        <v>46.660200000000003</v>
      </c>
      <c r="G2722">
        <v>-53.075499999999998</v>
      </c>
      <c r="H2722">
        <v>-3.5</v>
      </c>
      <c r="I2722">
        <v>27</v>
      </c>
      <c r="J2722" t="str">
        <f>HYPERLINK("https://climate.onebuilding.org/WMO_Region_4_North_and_Central_America/CAN_Canada/NL_Newfoundland_and_Labrador/CAN_NL_Cape.Race.718000_TMYx.2009-2023.zip")</f>
        <v>https://climate.onebuilding.org/WMO_Region_4_North_and_Central_America/CAN_Canada/NL_Newfoundland_and_Labrador/CAN_NL_Cape.Race.718000_TMYx.2009-2023.zip</v>
      </c>
    </row>
    <row r="2723" spans="1:10" x14ac:dyDescent="0.25">
      <c r="A2723" t="s">
        <v>6</v>
      </c>
      <c r="B2723" t="s">
        <v>11</v>
      </c>
      <c r="C2723" t="s">
        <v>1366</v>
      </c>
      <c r="D2723">
        <v>718000</v>
      </c>
      <c r="E2723" t="s">
        <v>10</v>
      </c>
      <c r="F2723">
        <v>46.660200000000003</v>
      </c>
      <c r="G2723">
        <v>-53.075499999999998</v>
      </c>
      <c r="H2723">
        <v>-3.5</v>
      </c>
      <c r="I2723">
        <v>27</v>
      </c>
      <c r="J2723" t="str">
        <f>HYPERLINK("https://climate.onebuilding.org/WMO_Region_4_North_and_Central_America/CAN_Canada/NL_Newfoundland_and_Labrador/CAN_NL_Cape.Race.718000_TMYx.zip")</f>
        <v>https://climate.onebuilding.org/WMO_Region_4_North_and_Central_America/CAN_Canada/NL_Newfoundland_and_Labrador/CAN_NL_Cape.Race.718000_TMYx.zip</v>
      </c>
    </row>
    <row r="2724" spans="1:10" x14ac:dyDescent="0.25">
      <c r="A2724" t="s">
        <v>6</v>
      </c>
      <c r="B2724" t="s">
        <v>11</v>
      </c>
      <c r="C2724" t="s">
        <v>1368</v>
      </c>
      <c r="D2724">
        <v>718010</v>
      </c>
      <c r="E2724" t="s">
        <v>1369</v>
      </c>
      <c r="F2724">
        <v>47.622199999999999</v>
      </c>
      <c r="G2724">
        <v>-52.742800000000003</v>
      </c>
      <c r="H2724">
        <v>-3.5</v>
      </c>
      <c r="I2724">
        <v>140.5</v>
      </c>
      <c r="J2724" t="str">
        <f>HYPERLINK("https://climate.onebuilding.org/WMO_Region_4_North_and_Central_America/CAN_Canada/NL_Newfoundland_and_Labrador/CAN_NL_St.Johns.Intl.AP.718010_TMYx.2004-2018.zip")</f>
        <v>https://climate.onebuilding.org/WMO_Region_4_North_and_Central_America/CAN_Canada/NL_Newfoundland_and_Labrador/CAN_NL_St.Johns.Intl.AP.718010_TMYx.2004-2018.zip</v>
      </c>
    </row>
    <row r="2725" spans="1:10" x14ac:dyDescent="0.25">
      <c r="A2725" t="s">
        <v>6</v>
      </c>
      <c r="B2725" t="s">
        <v>11</v>
      </c>
      <c r="C2725" t="s">
        <v>1368</v>
      </c>
      <c r="D2725">
        <v>718010</v>
      </c>
      <c r="E2725" t="s">
        <v>10</v>
      </c>
      <c r="F2725">
        <v>47.622199999999999</v>
      </c>
      <c r="G2725">
        <v>-52.742800000000003</v>
      </c>
      <c r="H2725">
        <v>-3.5</v>
      </c>
      <c r="I2725">
        <v>140.5</v>
      </c>
      <c r="J2725" t="str">
        <f>HYPERLINK("https://climate.onebuilding.org/WMO_Region_4_North_and_Central_America/CAN_Canada/NL_Newfoundland_and_Labrador/CAN_NL_St.Johns.Intl.AP.718010_TMYx.2007-2021.zip")</f>
        <v>https://climate.onebuilding.org/WMO_Region_4_North_and_Central_America/CAN_Canada/NL_Newfoundland_and_Labrador/CAN_NL_St.Johns.Intl.AP.718010_TMYx.2007-2021.zip</v>
      </c>
    </row>
    <row r="2726" spans="1:10" x14ac:dyDescent="0.25">
      <c r="A2726" t="s">
        <v>6</v>
      </c>
      <c r="B2726" t="s">
        <v>11</v>
      </c>
      <c r="C2726" t="s">
        <v>1368</v>
      </c>
      <c r="D2726">
        <v>718010</v>
      </c>
      <c r="E2726" t="s">
        <v>10</v>
      </c>
      <c r="F2726">
        <v>47.622199999999999</v>
      </c>
      <c r="G2726">
        <v>-52.742800000000003</v>
      </c>
      <c r="H2726">
        <v>-3.5</v>
      </c>
      <c r="I2726">
        <v>140.5</v>
      </c>
      <c r="J2726" t="str">
        <f>HYPERLINK("https://climate.onebuilding.org/WMO_Region_4_North_and_Central_America/CAN_Canada/NL_Newfoundland_and_Labrador/CAN_NL_St.Johns.Intl.AP.718010_TMYx.2009-2023.zip")</f>
        <v>https://climate.onebuilding.org/WMO_Region_4_North_and_Central_America/CAN_Canada/NL_Newfoundland_and_Labrador/CAN_NL_St.Johns.Intl.AP.718010_TMYx.2009-2023.zip</v>
      </c>
    </row>
    <row r="2727" spans="1:10" x14ac:dyDescent="0.25">
      <c r="A2727" t="s">
        <v>6</v>
      </c>
      <c r="B2727" t="s">
        <v>11</v>
      </c>
      <c r="C2727" t="s">
        <v>1368</v>
      </c>
      <c r="D2727">
        <v>718010</v>
      </c>
      <c r="E2727" t="s">
        <v>10</v>
      </c>
      <c r="F2727">
        <v>47.622199999999999</v>
      </c>
      <c r="G2727">
        <v>-52.742800000000003</v>
      </c>
      <c r="H2727">
        <v>-3.5</v>
      </c>
      <c r="I2727">
        <v>140.5</v>
      </c>
      <c r="J2727" t="str">
        <f>HYPERLINK("https://climate.onebuilding.org/WMO_Region_4_North_and_Central_America/CAN_Canada/NL_Newfoundland_and_Labrador/CAN_NL_St.Johns.Intl.AP.718010_TMYx.zip")</f>
        <v>https://climate.onebuilding.org/WMO_Region_4_North_and_Central_America/CAN_Canada/NL_Newfoundland_and_Labrador/CAN_NL_St.Johns.Intl.AP.718010_TMYx.zip</v>
      </c>
    </row>
    <row r="2728" spans="1:10" x14ac:dyDescent="0.25">
      <c r="A2728" t="s">
        <v>6</v>
      </c>
      <c r="B2728" t="s">
        <v>11</v>
      </c>
      <c r="C2728" t="s">
        <v>1370</v>
      </c>
      <c r="D2728">
        <v>718030</v>
      </c>
      <c r="E2728" t="s">
        <v>1371</v>
      </c>
      <c r="F2728">
        <v>48.946399999999997</v>
      </c>
      <c r="G2728">
        <v>-54.576900000000002</v>
      </c>
      <c r="H2728">
        <v>-3.5</v>
      </c>
      <c r="I2728">
        <v>151.19999999999999</v>
      </c>
      <c r="J2728" t="str">
        <f>HYPERLINK("https://climate.onebuilding.org/WMO_Region_4_North_and_Central_America/CAN_Canada/NL_Newfoundland_and_Labrador/CAN_NL_Gander.Intl.AP-CFB.Gander.718030_TMYx.2004-2018.zip")</f>
        <v>https://climate.onebuilding.org/WMO_Region_4_North_and_Central_America/CAN_Canada/NL_Newfoundland_and_Labrador/CAN_NL_Gander.Intl.AP-CFB.Gander.718030_TMYx.2004-2018.zip</v>
      </c>
    </row>
    <row r="2729" spans="1:10" x14ac:dyDescent="0.25">
      <c r="A2729" t="s">
        <v>6</v>
      </c>
      <c r="B2729" t="s">
        <v>11</v>
      </c>
      <c r="C2729" t="s">
        <v>1370</v>
      </c>
      <c r="D2729">
        <v>718030</v>
      </c>
      <c r="E2729" t="s">
        <v>10</v>
      </c>
      <c r="F2729">
        <v>48.946399999999997</v>
      </c>
      <c r="G2729">
        <v>-54.576900000000002</v>
      </c>
      <c r="H2729">
        <v>-3.5</v>
      </c>
      <c r="I2729">
        <v>151.19999999999999</v>
      </c>
      <c r="J2729" t="str">
        <f>HYPERLINK("https://climate.onebuilding.org/WMO_Region_4_North_and_Central_America/CAN_Canada/NL_Newfoundland_and_Labrador/CAN_NL_Gander.Intl.AP-CFB.Gander.718030_TMYx.2007-2021.zip")</f>
        <v>https://climate.onebuilding.org/WMO_Region_4_North_and_Central_America/CAN_Canada/NL_Newfoundland_and_Labrador/CAN_NL_Gander.Intl.AP-CFB.Gander.718030_TMYx.2007-2021.zip</v>
      </c>
    </row>
    <row r="2730" spans="1:10" x14ac:dyDescent="0.25">
      <c r="A2730" t="s">
        <v>6</v>
      </c>
      <c r="B2730" t="s">
        <v>11</v>
      </c>
      <c r="C2730" t="s">
        <v>1370</v>
      </c>
      <c r="D2730">
        <v>718030</v>
      </c>
      <c r="E2730" t="s">
        <v>10</v>
      </c>
      <c r="F2730">
        <v>48.946399999999997</v>
      </c>
      <c r="G2730">
        <v>-54.576900000000002</v>
      </c>
      <c r="H2730">
        <v>-3.5</v>
      </c>
      <c r="I2730">
        <v>151.19999999999999</v>
      </c>
      <c r="J2730" t="str">
        <f>HYPERLINK("https://climate.onebuilding.org/WMO_Region_4_North_and_Central_America/CAN_Canada/NL_Newfoundland_and_Labrador/CAN_NL_Gander.Intl.AP-CFB.Gander.718030_TMYx.2009-2023.zip")</f>
        <v>https://climate.onebuilding.org/WMO_Region_4_North_and_Central_America/CAN_Canada/NL_Newfoundland_and_Labrador/CAN_NL_Gander.Intl.AP-CFB.Gander.718030_TMYx.2009-2023.zip</v>
      </c>
    </row>
    <row r="2731" spans="1:10" x14ac:dyDescent="0.25">
      <c r="A2731" t="s">
        <v>6</v>
      </c>
      <c r="B2731" t="s">
        <v>11</v>
      </c>
      <c r="C2731" t="s">
        <v>1370</v>
      </c>
      <c r="D2731">
        <v>718030</v>
      </c>
      <c r="E2731" t="s">
        <v>10</v>
      </c>
      <c r="F2731">
        <v>48.946399999999997</v>
      </c>
      <c r="G2731">
        <v>-54.576900000000002</v>
      </c>
      <c r="H2731">
        <v>-3.5</v>
      </c>
      <c r="I2731">
        <v>151.19999999999999</v>
      </c>
      <c r="J2731" t="str">
        <f>HYPERLINK("https://climate.onebuilding.org/WMO_Region_4_North_and_Central_America/CAN_Canada/NL_Newfoundland_and_Labrador/CAN_NL_Gander.Intl.AP-CFB.Gander.718030_TMYx.zip")</f>
        <v>https://climate.onebuilding.org/WMO_Region_4_North_and_Central_America/CAN_Canada/NL_Newfoundland_and_Labrador/CAN_NL_Gander.Intl.AP-CFB.Gander.718030_TMYx.zip</v>
      </c>
    </row>
    <row r="2732" spans="1:10" x14ac:dyDescent="0.25">
      <c r="A2732" t="s">
        <v>6</v>
      </c>
      <c r="B2732" t="s">
        <v>11</v>
      </c>
      <c r="C2732" t="s">
        <v>1372</v>
      </c>
      <c r="D2732">
        <v>718070</v>
      </c>
      <c r="E2732" t="s">
        <v>1373</v>
      </c>
      <c r="F2732">
        <v>47.293900000000001</v>
      </c>
      <c r="G2732">
        <v>-53.993299999999998</v>
      </c>
      <c r="H2732">
        <v>-3.5</v>
      </c>
      <c r="I2732">
        <v>19</v>
      </c>
      <c r="J2732" t="str">
        <f>HYPERLINK("https://climate.onebuilding.org/WMO_Region_4_North_and_Central_America/CAN_Canada/NL_Newfoundland_and_Labrador/CAN_NL_Argentia.718070_TMYx.2004-2018.zip")</f>
        <v>https://climate.onebuilding.org/WMO_Region_4_North_and_Central_America/CAN_Canada/NL_Newfoundland_and_Labrador/CAN_NL_Argentia.718070_TMYx.2004-2018.zip</v>
      </c>
    </row>
    <row r="2733" spans="1:10" x14ac:dyDescent="0.25">
      <c r="A2733" t="s">
        <v>6</v>
      </c>
      <c r="B2733" t="s">
        <v>11</v>
      </c>
      <c r="C2733" t="s">
        <v>1372</v>
      </c>
      <c r="D2733">
        <v>718070</v>
      </c>
      <c r="E2733" t="s">
        <v>10</v>
      </c>
      <c r="F2733">
        <v>47.293900000000001</v>
      </c>
      <c r="G2733">
        <v>-53.993299999999998</v>
      </c>
      <c r="H2733">
        <v>-3.5</v>
      </c>
      <c r="I2733">
        <v>19</v>
      </c>
      <c r="J2733" t="str">
        <f>HYPERLINK("https://climate.onebuilding.org/WMO_Region_4_North_and_Central_America/CAN_Canada/NL_Newfoundland_and_Labrador/CAN_NL_Argentia.718070_TMYx.2007-2021.zip")</f>
        <v>https://climate.onebuilding.org/WMO_Region_4_North_and_Central_America/CAN_Canada/NL_Newfoundland_and_Labrador/CAN_NL_Argentia.718070_TMYx.2007-2021.zip</v>
      </c>
    </row>
    <row r="2734" spans="1:10" x14ac:dyDescent="0.25">
      <c r="A2734" t="s">
        <v>6</v>
      </c>
      <c r="B2734" t="s">
        <v>11</v>
      </c>
      <c r="C2734" t="s">
        <v>1372</v>
      </c>
      <c r="D2734">
        <v>718070</v>
      </c>
      <c r="E2734" t="s">
        <v>10</v>
      </c>
      <c r="F2734">
        <v>47.293900000000001</v>
      </c>
      <c r="G2734">
        <v>-53.993299999999998</v>
      </c>
      <c r="H2734">
        <v>-3.5</v>
      </c>
      <c r="I2734">
        <v>19</v>
      </c>
      <c r="J2734" t="str">
        <f>HYPERLINK("https://climate.onebuilding.org/WMO_Region_4_North_and_Central_America/CAN_Canada/NL_Newfoundland_and_Labrador/CAN_NL_Argentia.718070_TMYx.2009-2023.zip")</f>
        <v>https://climate.onebuilding.org/WMO_Region_4_North_and_Central_America/CAN_Canada/NL_Newfoundland_and_Labrador/CAN_NL_Argentia.718070_TMYx.2009-2023.zip</v>
      </c>
    </row>
    <row r="2735" spans="1:10" x14ac:dyDescent="0.25">
      <c r="A2735" t="s">
        <v>6</v>
      </c>
      <c r="B2735" t="s">
        <v>11</v>
      </c>
      <c r="C2735" t="s">
        <v>1372</v>
      </c>
      <c r="D2735">
        <v>718070</v>
      </c>
      <c r="E2735" t="s">
        <v>10</v>
      </c>
      <c r="F2735">
        <v>47.293900000000001</v>
      </c>
      <c r="G2735">
        <v>-53.993299999999998</v>
      </c>
      <c r="H2735">
        <v>-3.5</v>
      </c>
      <c r="I2735">
        <v>19</v>
      </c>
      <c r="J2735" t="str">
        <f>HYPERLINK("https://climate.onebuilding.org/WMO_Region_4_North_and_Central_America/CAN_Canada/NL_Newfoundland_and_Labrador/CAN_NL_Argentia.718070_TMYx.zip")</f>
        <v>https://climate.onebuilding.org/WMO_Region_4_North_and_Central_America/CAN_Canada/NL_Newfoundland_and_Labrador/CAN_NL_Argentia.718070_TMYx.zip</v>
      </c>
    </row>
    <row r="2736" spans="1:10" x14ac:dyDescent="0.25">
      <c r="A2736" t="s">
        <v>6</v>
      </c>
      <c r="B2736" t="s">
        <v>14</v>
      </c>
      <c r="C2736" t="s">
        <v>1374</v>
      </c>
      <c r="D2736">
        <v>718080</v>
      </c>
      <c r="E2736" t="s">
        <v>1375</v>
      </c>
      <c r="F2736">
        <v>51.45</v>
      </c>
      <c r="G2736">
        <v>-57.183300000000003</v>
      </c>
      <c r="H2736">
        <v>-4</v>
      </c>
      <c r="I2736">
        <v>37.200000000000003</v>
      </c>
      <c r="J2736" t="str">
        <f>HYPERLINK("https://climate.onebuilding.org/WMO_Region_4_North_and_Central_America/CAN_Canada/QC_Quebec/CAN_QC_Lourdes-de-Blanc-Sablon.AP.718080_TMYx.2004-2018.zip")</f>
        <v>https://climate.onebuilding.org/WMO_Region_4_North_and_Central_America/CAN_Canada/QC_Quebec/CAN_QC_Lourdes-de-Blanc-Sablon.AP.718080_TMYx.2004-2018.zip</v>
      </c>
    </row>
    <row r="2737" spans="1:10" x14ac:dyDescent="0.25">
      <c r="A2737" t="s">
        <v>6</v>
      </c>
      <c r="B2737" t="s">
        <v>14</v>
      </c>
      <c r="C2737" t="s">
        <v>1374</v>
      </c>
      <c r="D2737">
        <v>718080</v>
      </c>
      <c r="E2737" t="s">
        <v>10</v>
      </c>
      <c r="F2737">
        <v>51.45</v>
      </c>
      <c r="G2737">
        <v>-57.183300000000003</v>
      </c>
      <c r="H2737">
        <v>-4</v>
      </c>
      <c r="I2737">
        <v>37.200000000000003</v>
      </c>
      <c r="J2737" t="str">
        <f>HYPERLINK("https://climate.onebuilding.org/WMO_Region_4_North_and_Central_America/CAN_Canada/QC_Quebec/CAN_QC_Lourdes-de-Blanc-Sablon.AP.718080_TMYx.2007-2021.zip")</f>
        <v>https://climate.onebuilding.org/WMO_Region_4_North_and_Central_America/CAN_Canada/QC_Quebec/CAN_QC_Lourdes-de-Blanc-Sablon.AP.718080_TMYx.2007-2021.zip</v>
      </c>
    </row>
    <row r="2738" spans="1:10" x14ac:dyDescent="0.25">
      <c r="A2738" t="s">
        <v>6</v>
      </c>
      <c r="B2738" t="s">
        <v>14</v>
      </c>
      <c r="C2738" t="s">
        <v>1374</v>
      </c>
      <c r="D2738">
        <v>718080</v>
      </c>
      <c r="E2738" t="s">
        <v>10</v>
      </c>
      <c r="F2738">
        <v>51.45</v>
      </c>
      <c r="G2738">
        <v>-57.183300000000003</v>
      </c>
      <c r="H2738">
        <v>-4</v>
      </c>
      <c r="I2738">
        <v>37.200000000000003</v>
      </c>
      <c r="J2738" t="str">
        <f>HYPERLINK("https://climate.onebuilding.org/WMO_Region_4_North_and_Central_America/CAN_Canada/QC_Quebec/CAN_QC_Lourdes-de-Blanc-Sablon.AP.718080_TMYx.2009-2023.zip")</f>
        <v>https://climate.onebuilding.org/WMO_Region_4_North_and_Central_America/CAN_Canada/QC_Quebec/CAN_QC_Lourdes-de-Blanc-Sablon.AP.718080_TMYx.2009-2023.zip</v>
      </c>
    </row>
    <row r="2739" spans="1:10" x14ac:dyDescent="0.25">
      <c r="A2739" t="s">
        <v>6</v>
      </c>
      <c r="B2739" t="s">
        <v>14</v>
      </c>
      <c r="C2739" t="s">
        <v>1374</v>
      </c>
      <c r="D2739">
        <v>718080</v>
      </c>
      <c r="E2739" t="s">
        <v>10</v>
      </c>
      <c r="F2739">
        <v>51.45</v>
      </c>
      <c r="G2739">
        <v>-57.183300000000003</v>
      </c>
      <c r="H2739">
        <v>-4</v>
      </c>
      <c r="I2739">
        <v>37.200000000000003</v>
      </c>
      <c r="J2739" t="str">
        <f>HYPERLINK("https://climate.onebuilding.org/WMO_Region_4_North_and_Central_America/CAN_Canada/QC_Quebec/CAN_QC_Lourdes-de-Blanc-Sablon.AP.718080_TMYx.zip")</f>
        <v>https://climate.onebuilding.org/WMO_Region_4_North_and_Central_America/CAN_Canada/QC_Quebec/CAN_QC_Lourdes-de-Blanc-Sablon.AP.718080_TMYx.zip</v>
      </c>
    </row>
    <row r="2740" spans="1:10" x14ac:dyDescent="0.25">
      <c r="A2740" t="s">
        <v>6</v>
      </c>
      <c r="B2740" t="s">
        <v>11</v>
      </c>
      <c r="C2740" t="s">
        <v>1376</v>
      </c>
      <c r="D2740">
        <v>718090</v>
      </c>
      <c r="E2740" t="s">
        <v>1377</v>
      </c>
      <c r="F2740">
        <v>49.216700000000003</v>
      </c>
      <c r="G2740">
        <v>-57.4</v>
      </c>
      <c r="H2740">
        <v>-3.5</v>
      </c>
      <c r="I2740">
        <v>21.9</v>
      </c>
      <c r="J2740" t="str">
        <f>HYPERLINK("https://climate.onebuilding.org/WMO_Region_4_North_and_Central_America/CAN_Canada/NL_Newfoundland_and_Labrador/CAN_NL_Deer.Lake.Rgnl.AP.718090_TMYx.2004-2018.zip")</f>
        <v>https://climate.onebuilding.org/WMO_Region_4_North_and_Central_America/CAN_Canada/NL_Newfoundland_and_Labrador/CAN_NL_Deer.Lake.Rgnl.AP.718090_TMYx.2004-2018.zip</v>
      </c>
    </row>
    <row r="2741" spans="1:10" x14ac:dyDescent="0.25">
      <c r="A2741" t="s">
        <v>6</v>
      </c>
      <c r="B2741" t="s">
        <v>11</v>
      </c>
      <c r="C2741" t="s">
        <v>1376</v>
      </c>
      <c r="D2741">
        <v>718090</v>
      </c>
      <c r="E2741" t="s">
        <v>10</v>
      </c>
      <c r="F2741">
        <v>49.210999999999999</v>
      </c>
      <c r="G2741">
        <v>-57.396999999999998</v>
      </c>
      <c r="H2741">
        <v>-3.5</v>
      </c>
      <c r="I2741">
        <v>21.9</v>
      </c>
      <c r="J2741" t="str">
        <f>HYPERLINK("https://climate.onebuilding.org/WMO_Region_4_North_and_Central_America/CAN_Canada/NL_Newfoundland_and_Labrador/CAN_NL_Deer.Lake.Rgnl.AP.718090_TMYx.2007-2021.zip")</f>
        <v>https://climate.onebuilding.org/WMO_Region_4_North_and_Central_America/CAN_Canada/NL_Newfoundland_and_Labrador/CAN_NL_Deer.Lake.Rgnl.AP.718090_TMYx.2007-2021.zip</v>
      </c>
    </row>
    <row r="2742" spans="1:10" x14ac:dyDescent="0.25">
      <c r="A2742" t="s">
        <v>6</v>
      </c>
      <c r="B2742" t="s">
        <v>11</v>
      </c>
      <c r="C2742" t="s">
        <v>1376</v>
      </c>
      <c r="D2742">
        <v>718090</v>
      </c>
      <c r="E2742" t="s">
        <v>10</v>
      </c>
      <c r="F2742">
        <v>49.210999999999999</v>
      </c>
      <c r="G2742">
        <v>-57.396999999999998</v>
      </c>
      <c r="H2742">
        <v>-3.5</v>
      </c>
      <c r="I2742">
        <v>21.9</v>
      </c>
      <c r="J2742" t="str">
        <f>HYPERLINK("https://climate.onebuilding.org/WMO_Region_4_North_and_Central_America/CAN_Canada/NL_Newfoundland_and_Labrador/CAN_NL_Deer.Lake.Rgnl.AP.718090_TMYx.2009-2023.zip")</f>
        <v>https://climate.onebuilding.org/WMO_Region_4_North_and_Central_America/CAN_Canada/NL_Newfoundland_and_Labrador/CAN_NL_Deer.Lake.Rgnl.AP.718090_TMYx.2009-2023.zip</v>
      </c>
    </row>
    <row r="2743" spans="1:10" x14ac:dyDescent="0.25">
      <c r="A2743" t="s">
        <v>6</v>
      </c>
      <c r="B2743" t="s">
        <v>11</v>
      </c>
      <c r="C2743" t="s">
        <v>1376</v>
      </c>
      <c r="D2743">
        <v>718090</v>
      </c>
      <c r="E2743" t="s">
        <v>10</v>
      </c>
      <c r="F2743">
        <v>49.210999999999999</v>
      </c>
      <c r="G2743">
        <v>-57.396999999999998</v>
      </c>
      <c r="H2743">
        <v>-3.5</v>
      </c>
      <c r="I2743">
        <v>21.9</v>
      </c>
      <c r="J2743" t="str">
        <f>HYPERLINK("https://climate.onebuilding.org/WMO_Region_4_North_and_Central_America/CAN_Canada/NL_Newfoundland_and_Labrador/CAN_NL_Deer.Lake.Rgnl.AP.718090_TMYx.zip")</f>
        <v>https://climate.onebuilding.org/WMO_Region_4_North_and_Central_America/CAN_Canada/NL_Newfoundland_and_Labrador/CAN_NL_Deer.Lake.Rgnl.AP.718090_TMYx.zip</v>
      </c>
    </row>
    <row r="2744" spans="1:10" x14ac:dyDescent="0.25">
      <c r="A2744" t="s">
        <v>6</v>
      </c>
      <c r="B2744" t="s">
        <v>14</v>
      </c>
      <c r="C2744" t="s">
        <v>1378</v>
      </c>
      <c r="D2744">
        <v>718100</v>
      </c>
      <c r="E2744" t="s">
        <v>1379</v>
      </c>
      <c r="F2744">
        <v>49.8386</v>
      </c>
      <c r="G2744">
        <v>-64.293300000000002</v>
      </c>
      <c r="H2744">
        <v>-5</v>
      </c>
      <c r="I2744">
        <v>55.2</v>
      </c>
      <c r="J2744" t="str">
        <f>HYPERLINK("https://climate.onebuilding.org/WMO_Region_4_North_and_Central_America/CAN_Canada/QC_Quebec/CAN_QC_Port-Menier.AP.718100_TMYx.2004-2018.zip")</f>
        <v>https://climate.onebuilding.org/WMO_Region_4_North_and_Central_America/CAN_Canada/QC_Quebec/CAN_QC_Port-Menier.AP.718100_TMYx.2004-2018.zip</v>
      </c>
    </row>
    <row r="2745" spans="1:10" x14ac:dyDescent="0.25">
      <c r="A2745" t="s">
        <v>6</v>
      </c>
      <c r="B2745" t="s">
        <v>14</v>
      </c>
      <c r="C2745" t="s">
        <v>1378</v>
      </c>
      <c r="D2745">
        <v>718100</v>
      </c>
      <c r="E2745" t="s">
        <v>10</v>
      </c>
      <c r="F2745">
        <v>49.8386</v>
      </c>
      <c r="G2745">
        <v>-64.293300000000002</v>
      </c>
      <c r="H2745">
        <v>-5</v>
      </c>
      <c r="I2745">
        <v>55.2</v>
      </c>
      <c r="J2745" t="str">
        <f>HYPERLINK("https://climate.onebuilding.org/WMO_Region_4_North_and_Central_America/CAN_Canada/QC_Quebec/CAN_QC_Port-Menier.AP.718100_TMYx.2007-2021.zip")</f>
        <v>https://climate.onebuilding.org/WMO_Region_4_North_and_Central_America/CAN_Canada/QC_Quebec/CAN_QC_Port-Menier.AP.718100_TMYx.2007-2021.zip</v>
      </c>
    </row>
    <row r="2746" spans="1:10" x14ac:dyDescent="0.25">
      <c r="A2746" t="s">
        <v>6</v>
      </c>
      <c r="B2746" t="s">
        <v>14</v>
      </c>
      <c r="C2746" t="s">
        <v>1378</v>
      </c>
      <c r="D2746">
        <v>718100</v>
      </c>
      <c r="E2746" t="s">
        <v>10</v>
      </c>
      <c r="F2746">
        <v>49.8386</v>
      </c>
      <c r="G2746">
        <v>-64.293300000000002</v>
      </c>
      <c r="H2746">
        <v>-5</v>
      </c>
      <c r="I2746">
        <v>55.2</v>
      </c>
      <c r="J2746" t="str">
        <f>HYPERLINK("https://climate.onebuilding.org/WMO_Region_4_North_and_Central_America/CAN_Canada/QC_Quebec/CAN_QC_Port-Menier.AP.718100_TMYx.2009-2023.zip")</f>
        <v>https://climate.onebuilding.org/WMO_Region_4_North_and_Central_America/CAN_Canada/QC_Quebec/CAN_QC_Port-Menier.AP.718100_TMYx.2009-2023.zip</v>
      </c>
    </row>
    <row r="2747" spans="1:10" x14ac:dyDescent="0.25">
      <c r="A2747" t="s">
        <v>6</v>
      </c>
      <c r="B2747" t="s">
        <v>14</v>
      </c>
      <c r="C2747" t="s">
        <v>1378</v>
      </c>
      <c r="D2747">
        <v>718100</v>
      </c>
      <c r="E2747" t="s">
        <v>10</v>
      </c>
      <c r="F2747">
        <v>49.8386</v>
      </c>
      <c r="G2747">
        <v>-64.293300000000002</v>
      </c>
      <c r="H2747">
        <v>-5</v>
      </c>
      <c r="I2747">
        <v>55.2</v>
      </c>
      <c r="J2747" t="str">
        <f>HYPERLINK("https://climate.onebuilding.org/WMO_Region_4_North_and_Central_America/CAN_Canada/QC_Quebec/CAN_QC_Port-Menier.AP.718100_TMYx.zip")</f>
        <v>https://climate.onebuilding.org/WMO_Region_4_North_and_Central_America/CAN_Canada/QC_Quebec/CAN_QC_Port-Menier.AP.718100_TMYx.zip</v>
      </c>
    </row>
    <row r="2748" spans="1:10" x14ac:dyDescent="0.25">
      <c r="A2748" t="s">
        <v>6</v>
      </c>
      <c r="B2748" t="s">
        <v>14</v>
      </c>
      <c r="C2748" t="s">
        <v>1380</v>
      </c>
      <c r="D2748">
        <v>718105</v>
      </c>
      <c r="E2748" t="s">
        <v>10</v>
      </c>
      <c r="F2748">
        <v>50.25</v>
      </c>
      <c r="G2748">
        <v>-63.6</v>
      </c>
      <c r="H2748">
        <v>-5</v>
      </c>
      <c r="I2748">
        <v>6</v>
      </c>
      <c r="J2748" t="str">
        <f>HYPERLINK("https://climate.onebuilding.org/WMO_Region_4_North_and_Central_America/CAN_Canada/QC_Quebec/CAN_QC_Havre-St.Pierre.718105_TMYx.zip")</f>
        <v>https://climate.onebuilding.org/WMO_Region_4_North_and_Central_America/CAN_Canada/QC_Quebec/CAN_QC_Havre-St.Pierre.718105_TMYx.zip</v>
      </c>
    </row>
    <row r="2749" spans="1:10" x14ac:dyDescent="0.25">
      <c r="A2749" t="s">
        <v>6</v>
      </c>
      <c r="B2749" t="s">
        <v>14</v>
      </c>
      <c r="C2749" t="s">
        <v>1381</v>
      </c>
      <c r="D2749">
        <v>718110</v>
      </c>
      <c r="E2749" t="s">
        <v>1382</v>
      </c>
      <c r="F2749">
        <v>50.216700000000003</v>
      </c>
      <c r="G2749">
        <v>-66.25</v>
      </c>
      <c r="H2749">
        <v>-5</v>
      </c>
      <c r="I2749">
        <v>55</v>
      </c>
      <c r="J2749" t="str">
        <f>HYPERLINK("https://climate.onebuilding.org/WMO_Region_4_North_and_Central_America/CAN_Canada/QC_Quebec/CAN_QC_Sept-Iles.AP.718110_TMYx.2004-2018.zip")</f>
        <v>https://climate.onebuilding.org/WMO_Region_4_North_and_Central_America/CAN_Canada/QC_Quebec/CAN_QC_Sept-Iles.AP.718110_TMYx.2004-2018.zip</v>
      </c>
    </row>
    <row r="2750" spans="1:10" x14ac:dyDescent="0.25">
      <c r="A2750" t="s">
        <v>6</v>
      </c>
      <c r="B2750" t="s">
        <v>14</v>
      </c>
      <c r="C2750" t="s">
        <v>1381</v>
      </c>
      <c r="D2750">
        <v>712790</v>
      </c>
      <c r="E2750" t="s">
        <v>10</v>
      </c>
      <c r="F2750">
        <v>50.2181</v>
      </c>
      <c r="G2750">
        <v>-66.241399999999999</v>
      </c>
      <c r="H2750">
        <v>-5</v>
      </c>
      <c r="I2750">
        <v>55</v>
      </c>
      <c r="J2750" t="str">
        <f>HYPERLINK("https://climate.onebuilding.org/WMO_Region_4_North_and_Central_America/CAN_Canada/QC_Quebec/CAN_QC_Sept-Iles.AP.718110_TMYx.2007-2021.zip")</f>
        <v>https://climate.onebuilding.org/WMO_Region_4_North_and_Central_America/CAN_Canada/QC_Quebec/CAN_QC_Sept-Iles.AP.718110_TMYx.2007-2021.zip</v>
      </c>
    </row>
    <row r="2751" spans="1:10" x14ac:dyDescent="0.25">
      <c r="A2751" t="s">
        <v>6</v>
      </c>
      <c r="B2751" t="s">
        <v>14</v>
      </c>
      <c r="C2751" t="s">
        <v>1381</v>
      </c>
      <c r="D2751">
        <v>712790</v>
      </c>
      <c r="E2751" t="s">
        <v>10</v>
      </c>
      <c r="F2751">
        <v>50.2181</v>
      </c>
      <c r="G2751">
        <v>-66.241399999999999</v>
      </c>
      <c r="H2751">
        <v>-5</v>
      </c>
      <c r="I2751">
        <v>55</v>
      </c>
      <c r="J2751" t="str">
        <f>HYPERLINK("https://climate.onebuilding.org/WMO_Region_4_North_and_Central_America/CAN_Canada/QC_Quebec/CAN_QC_Sept-Iles.AP.718110_TMYx.2009-2023.zip")</f>
        <v>https://climate.onebuilding.org/WMO_Region_4_North_and_Central_America/CAN_Canada/QC_Quebec/CAN_QC_Sept-Iles.AP.718110_TMYx.2009-2023.zip</v>
      </c>
    </row>
    <row r="2752" spans="1:10" x14ac:dyDescent="0.25">
      <c r="A2752" t="s">
        <v>6</v>
      </c>
      <c r="B2752" t="s">
        <v>14</v>
      </c>
      <c r="C2752" t="s">
        <v>1381</v>
      </c>
      <c r="D2752">
        <v>712790</v>
      </c>
      <c r="E2752" t="s">
        <v>10</v>
      </c>
      <c r="F2752">
        <v>50.2181</v>
      </c>
      <c r="G2752">
        <v>-66.241399999999999</v>
      </c>
      <c r="H2752">
        <v>-5</v>
      </c>
      <c r="I2752">
        <v>55</v>
      </c>
      <c r="J2752" t="str">
        <f>HYPERLINK("https://climate.onebuilding.org/WMO_Region_4_North_and_Central_America/CAN_Canada/QC_Quebec/CAN_QC_Sept-Iles.AP.718110_TMYx.zip")</f>
        <v>https://climate.onebuilding.org/WMO_Region_4_North_and_Central_America/CAN_Canada/QC_Quebec/CAN_QC_Sept-Iles.AP.718110_TMYx.zip</v>
      </c>
    </row>
    <row r="2753" spans="1:10" x14ac:dyDescent="0.25">
      <c r="A2753" t="s">
        <v>6</v>
      </c>
      <c r="B2753" t="s">
        <v>14</v>
      </c>
      <c r="C2753" t="s">
        <v>1383</v>
      </c>
      <c r="D2753">
        <v>718113</v>
      </c>
      <c r="E2753" t="s">
        <v>10</v>
      </c>
      <c r="F2753">
        <v>51.691000000000003</v>
      </c>
      <c r="G2753">
        <v>-76.135999999999996</v>
      </c>
      <c r="H2753">
        <v>-5</v>
      </c>
      <c r="I2753">
        <v>244</v>
      </c>
      <c r="J2753" t="str">
        <f>HYPERLINK("https://climate.onebuilding.org/WMO_Region_4_North_and_Central_America/CAN_Canada/QC_Quebec/CAN_QC_Nemiscau.AP.718113_TMYx.2007-2021.zip")</f>
        <v>https://climate.onebuilding.org/WMO_Region_4_North_and_Central_America/CAN_Canada/QC_Quebec/CAN_QC_Nemiscau.AP.718113_TMYx.2007-2021.zip</v>
      </c>
    </row>
    <row r="2754" spans="1:10" x14ac:dyDescent="0.25">
      <c r="A2754" t="s">
        <v>6</v>
      </c>
      <c r="B2754" t="s">
        <v>14</v>
      </c>
      <c r="C2754" t="s">
        <v>1383</v>
      </c>
      <c r="D2754">
        <v>718113</v>
      </c>
      <c r="E2754" t="s">
        <v>10</v>
      </c>
      <c r="F2754">
        <v>51.691000000000003</v>
      </c>
      <c r="G2754">
        <v>-76.135999999999996</v>
      </c>
      <c r="H2754">
        <v>-5</v>
      </c>
      <c r="I2754">
        <v>244</v>
      </c>
      <c r="J2754" t="str">
        <f>HYPERLINK("https://climate.onebuilding.org/WMO_Region_4_North_and_Central_America/CAN_Canada/QC_Quebec/CAN_QC_Nemiscau.AP.718113_TMYx.2009-2023.zip")</f>
        <v>https://climate.onebuilding.org/WMO_Region_4_North_and_Central_America/CAN_Canada/QC_Quebec/CAN_QC_Nemiscau.AP.718113_TMYx.2009-2023.zip</v>
      </c>
    </row>
    <row r="2755" spans="1:10" x14ac:dyDescent="0.25">
      <c r="A2755" t="s">
        <v>6</v>
      </c>
      <c r="B2755" t="s">
        <v>14</v>
      </c>
      <c r="C2755" t="s">
        <v>1383</v>
      </c>
      <c r="D2755">
        <v>718113</v>
      </c>
      <c r="E2755" t="s">
        <v>10</v>
      </c>
      <c r="F2755">
        <v>51.691000000000003</v>
      </c>
      <c r="G2755">
        <v>-76.135999999999996</v>
      </c>
      <c r="H2755">
        <v>-5</v>
      </c>
      <c r="I2755">
        <v>244</v>
      </c>
      <c r="J2755" t="str">
        <f>HYPERLINK("https://climate.onebuilding.org/WMO_Region_4_North_and_Central_America/CAN_Canada/QC_Quebec/CAN_QC_Nemiscau.AP.718113_TMYx.zip")</f>
        <v>https://climate.onebuilding.org/WMO_Region_4_North_and_Central_America/CAN_Canada/QC_Quebec/CAN_QC_Nemiscau.AP.718113_TMYx.zip</v>
      </c>
    </row>
    <row r="2756" spans="1:10" x14ac:dyDescent="0.25">
      <c r="A2756" t="s">
        <v>6</v>
      </c>
      <c r="B2756" t="s">
        <v>14</v>
      </c>
      <c r="C2756" t="s">
        <v>1384</v>
      </c>
      <c r="D2756">
        <v>718140</v>
      </c>
      <c r="E2756" t="s">
        <v>1385</v>
      </c>
      <c r="F2756">
        <v>50.465000000000003</v>
      </c>
      <c r="G2756">
        <v>-59.639499999999998</v>
      </c>
      <c r="H2756">
        <v>-4</v>
      </c>
      <c r="I2756">
        <v>8</v>
      </c>
      <c r="J2756" t="str">
        <f>HYPERLINK("https://climate.onebuilding.org/WMO_Region_4_North_and_Central_America/CAN_Canada/QC_Quebec/CAN_QC_Chevery.AP.718140_TMYx.2004-2018.zip")</f>
        <v>https://climate.onebuilding.org/WMO_Region_4_North_and_Central_America/CAN_Canada/QC_Quebec/CAN_QC_Chevery.AP.718140_TMYx.2004-2018.zip</v>
      </c>
    </row>
    <row r="2757" spans="1:10" x14ac:dyDescent="0.25">
      <c r="A2757" t="s">
        <v>6</v>
      </c>
      <c r="B2757" t="s">
        <v>14</v>
      </c>
      <c r="C2757" t="s">
        <v>1384</v>
      </c>
      <c r="D2757">
        <v>718140</v>
      </c>
      <c r="E2757" t="s">
        <v>10</v>
      </c>
      <c r="F2757">
        <v>50.465000000000003</v>
      </c>
      <c r="G2757">
        <v>-59.639499999999998</v>
      </c>
      <c r="H2757">
        <v>-4</v>
      </c>
      <c r="I2757">
        <v>8</v>
      </c>
      <c r="J2757" t="str">
        <f>HYPERLINK("https://climate.onebuilding.org/WMO_Region_4_North_and_Central_America/CAN_Canada/QC_Quebec/CAN_QC_Chevery.AP.718140_TMYx.2007-2021.zip")</f>
        <v>https://climate.onebuilding.org/WMO_Region_4_North_and_Central_America/CAN_Canada/QC_Quebec/CAN_QC_Chevery.AP.718140_TMYx.2007-2021.zip</v>
      </c>
    </row>
    <row r="2758" spans="1:10" x14ac:dyDescent="0.25">
      <c r="A2758" t="s">
        <v>6</v>
      </c>
      <c r="B2758" t="s">
        <v>14</v>
      </c>
      <c r="C2758" t="s">
        <v>1384</v>
      </c>
      <c r="D2758">
        <v>718140</v>
      </c>
      <c r="E2758" t="s">
        <v>10</v>
      </c>
      <c r="F2758">
        <v>50.465000000000003</v>
      </c>
      <c r="G2758">
        <v>-59.639499999999998</v>
      </c>
      <c r="H2758">
        <v>-4</v>
      </c>
      <c r="I2758">
        <v>8</v>
      </c>
      <c r="J2758" t="str">
        <f>HYPERLINK("https://climate.onebuilding.org/WMO_Region_4_North_and_Central_America/CAN_Canada/QC_Quebec/CAN_QC_Chevery.AP.718140_TMYx.2009-2023.zip")</f>
        <v>https://climate.onebuilding.org/WMO_Region_4_North_and_Central_America/CAN_Canada/QC_Quebec/CAN_QC_Chevery.AP.718140_TMYx.2009-2023.zip</v>
      </c>
    </row>
    <row r="2759" spans="1:10" x14ac:dyDescent="0.25">
      <c r="A2759" t="s">
        <v>6</v>
      </c>
      <c r="B2759" t="s">
        <v>14</v>
      </c>
      <c r="C2759" t="s">
        <v>1384</v>
      </c>
      <c r="D2759">
        <v>718140</v>
      </c>
      <c r="E2759" t="s">
        <v>10</v>
      </c>
      <c r="F2759">
        <v>50.465000000000003</v>
      </c>
      <c r="G2759">
        <v>-59.639499999999998</v>
      </c>
      <c r="H2759">
        <v>-4</v>
      </c>
      <c r="I2759">
        <v>8</v>
      </c>
      <c r="J2759" t="str">
        <f>HYPERLINK("https://climate.onebuilding.org/WMO_Region_4_North_and_Central_America/CAN_Canada/QC_Quebec/CAN_QC_Chevery.AP.718140_TMYx.zip")</f>
        <v>https://climate.onebuilding.org/WMO_Region_4_North_and_Central_America/CAN_Canada/QC_Quebec/CAN_QC_Chevery.AP.718140_TMYx.zip</v>
      </c>
    </row>
    <row r="2760" spans="1:10" x14ac:dyDescent="0.25">
      <c r="A2760" t="s">
        <v>6</v>
      </c>
      <c r="B2760" t="s">
        <v>11</v>
      </c>
      <c r="C2760" t="s">
        <v>1386</v>
      </c>
      <c r="D2760">
        <v>718150</v>
      </c>
      <c r="E2760" t="s">
        <v>1387</v>
      </c>
      <c r="F2760">
        <v>48.533299999999997</v>
      </c>
      <c r="G2760">
        <v>-58.55</v>
      </c>
      <c r="H2760">
        <v>-3.5</v>
      </c>
      <c r="I2760">
        <v>24.7</v>
      </c>
      <c r="J2760" t="str">
        <f>HYPERLINK("https://climate.onebuilding.org/WMO_Region_4_North_and_Central_America/CAN_Canada/NL_Newfoundland_and_Labrador/CAN_NL_Stephenville.Intl.AP.718150_TMYx.2004-2018.zip")</f>
        <v>https://climate.onebuilding.org/WMO_Region_4_North_and_Central_America/CAN_Canada/NL_Newfoundland_and_Labrador/CAN_NL_Stephenville.Intl.AP.718150_TMYx.2004-2018.zip</v>
      </c>
    </row>
    <row r="2761" spans="1:10" x14ac:dyDescent="0.25">
      <c r="A2761" t="s">
        <v>6</v>
      </c>
      <c r="B2761" t="s">
        <v>11</v>
      </c>
      <c r="C2761" t="s">
        <v>1386</v>
      </c>
      <c r="D2761">
        <v>718150</v>
      </c>
      <c r="E2761" t="s">
        <v>10</v>
      </c>
      <c r="F2761">
        <v>48.533299999999997</v>
      </c>
      <c r="G2761">
        <v>-58.55</v>
      </c>
      <c r="H2761">
        <v>-3.5</v>
      </c>
      <c r="I2761">
        <v>24.7</v>
      </c>
      <c r="J2761" t="str">
        <f>HYPERLINK("https://climate.onebuilding.org/WMO_Region_4_North_and_Central_America/CAN_Canada/NL_Newfoundland_and_Labrador/CAN_NL_Stephenville.Intl.AP.718150_TMYx.2007-2021.zip")</f>
        <v>https://climate.onebuilding.org/WMO_Region_4_North_and_Central_America/CAN_Canada/NL_Newfoundland_and_Labrador/CAN_NL_Stephenville.Intl.AP.718150_TMYx.2007-2021.zip</v>
      </c>
    </row>
    <row r="2762" spans="1:10" x14ac:dyDescent="0.25">
      <c r="A2762" t="s">
        <v>6</v>
      </c>
      <c r="B2762" t="s">
        <v>11</v>
      </c>
      <c r="C2762" t="s">
        <v>1386</v>
      </c>
      <c r="D2762">
        <v>718150</v>
      </c>
      <c r="E2762" t="s">
        <v>10</v>
      </c>
      <c r="F2762">
        <v>48.533299999999997</v>
      </c>
      <c r="G2762">
        <v>-58.55</v>
      </c>
      <c r="H2762">
        <v>-3.5</v>
      </c>
      <c r="I2762">
        <v>24.7</v>
      </c>
      <c r="J2762" t="str">
        <f>HYPERLINK("https://climate.onebuilding.org/WMO_Region_4_North_and_Central_America/CAN_Canada/NL_Newfoundland_and_Labrador/CAN_NL_Stephenville.Intl.AP.718150_TMYx.2009-2023.zip")</f>
        <v>https://climate.onebuilding.org/WMO_Region_4_North_and_Central_America/CAN_Canada/NL_Newfoundland_and_Labrador/CAN_NL_Stephenville.Intl.AP.718150_TMYx.2009-2023.zip</v>
      </c>
    </row>
    <row r="2763" spans="1:10" x14ac:dyDescent="0.25">
      <c r="A2763" t="s">
        <v>6</v>
      </c>
      <c r="B2763" t="s">
        <v>11</v>
      </c>
      <c r="C2763" t="s">
        <v>1386</v>
      </c>
      <c r="D2763">
        <v>718150</v>
      </c>
      <c r="E2763" t="s">
        <v>10</v>
      </c>
      <c r="F2763">
        <v>48.533299999999997</v>
      </c>
      <c r="G2763">
        <v>-58.55</v>
      </c>
      <c r="H2763">
        <v>-3.5</v>
      </c>
      <c r="I2763">
        <v>24.7</v>
      </c>
      <c r="J2763" t="str">
        <f>HYPERLINK("https://climate.onebuilding.org/WMO_Region_4_North_and_Central_America/CAN_Canada/NL_Newfoundland_and_Labrador/CAN_NL_Stephenville.Intl.AP.718150_TMYx.zip")</f>
        <v>https://climate.onebuilding.org/WMO_Region_4_North_and_Central_America/CAN_Canada/NL_Newfoundland_and_Labrador/CAN_NL_Stephenville.Intl.AP.718150_TMYx.zip</v>
      </c>
    </row>
    <row r="2764" spans="1:10" x14ac:dyDescent="0.25">
      <c r="A2764" t="s">
        <v>6</v>
      </c>
      <c r="B2764" t="s">
        <v>11</v>
      </c>
      <c r="C2764" t="s">
        <v>1388</v>
      </c>
      <c r="D2764">
        <v>718160</v>
      </c>
      <c r="E2764" t="s">
        <v>1389</v>
      </c>
      <c r="F2764">
        <v>53.316699999999997</v>
      </c>
      <c r="G2764">
        <v>-60.416699999999999</v>
      </c>
      <c r="H2764">
        <v>-4</v>
      </c>
      <c r="I2764">
        <v>48.8</v>
      </c>
      <c r="J2764" t="str">
        <f>HYPERLINK("https://climate.onebuilding.org/WMO_Region_4_North_and_Central_America/CAN_Canada/NL_Newfoundland_and_Labrador/CAN_NL_Goose.Bay.AP-CFB.Goose.Bay.718160_TMYx.2004-2018.zip")</f>
        <v>https://climate.onebuilding.org/WMO_Region_4_North_and_Central_America/CAN_Canada/NL_Newfoundland_and_Labrador/CAN_NL_Goose.Bay.AP-CFB.Goose.Bay.718160_TMYx.2004-2018.zip</v>
      </c>
    </row>
    <row r="2765" spans="1:10" x14ac:dyDescent="0.25">
      <c r="A2765" t="s">
        <v>6</v>
      </c>
      <c r="B2765" t="s">
        <v>11</v>
      </c>
      <c r="C2765" t="s">
        <v>1388</v>
      </c>
      <c r="D2765">
        <v>718160</v>
      </c>
      <c r="E2765" t="s">
        <v>10</v>
      </c>
      <c r="F2765">
        <v>53.316699999999997</v>
      </c>
      <c r="G2765">
        <v>-60.416699999999999</v>
      </c>
      <c r="H2765">
        <v>-4</v>
      </c>
      <c r="I2765">
        <v>48.8</v>
      </c>
      <c r="J2765" t="str">
        <f>HYPERLINK("https://climate.onebuilding.org/WMO_Region_4_North_and_Central_America/CAN_Canada/NL_Newfoundland_and_Labrador/CAN_NL_Goose.Bay.AP-CFB.Goose.Bay.718160_TMYx.2007-2021.zip")</f>
        <v>https://climate.onebuilding.org/WMO_Region_4_North_and_Central_America/CAN_Canada/NL_Newfoundland_and_Labrador/CAN_NL_Goose.Bay.AP-CFB.Goose.Bay.718160_TMYx.2007-2021.zip</v>
      </c>
    </row>
    <row r="2766" spans="1:10" x14ac:dyDescent="0.25">
      <c r="A2766" t="s">
        <v>6</v>
      </c>
      <c r="B2766" t="s">
        <v>11</v>
      </c>
      <c r="C2766" t="s">
        <v>1388</v>
      </c>
      <c r="D2766">
        <v>718160</v>
      </c>
      <c r="E2766" t="s">
        <v>10</v>
      </c>
      <c r="F2766">
        <v>53.316699999999997</v>
      </c>
      <c r="G2766">
        <v>-60.416699999999999</v>
      </c>
      <c r="H2766">
        <v>-4</v>
      </c>
      <c r="I2766">
        <v>48.8</v>
      </c>
      <c r="J2766" t="str">
        <f>HYPERLINK("https://climate.onebuilding.org/WMO_Region_4_North_and_Central_America/CAN_Canada/NL_Newfoundland_and_Labrador/CAN_NL_Goose.Bay.AP-CFB.Goose.Bay.718160_TMYx.2009-2023.zip")</f>
        <v>https://climate.onebuilding.org/WMO_Region_4_North_and_Central_America/CAN_Canada/NL_Newfoundland_and_Labrador/CAN_NL_Goose.Bay.AP-CFB.Goose.Bay.718160_TMYx.2009-2023.zip</v>
      </c>
    </row>
    <row r="2767" spans="1:10" x14ac:dyDescent="0.25">
      <c r="A2767" t="s">
        <v>6</v>
      </c>
      <c r="B2767" t="s">
        <v>11</v>
      </c>
      <c r="C2767" t="s">
        <v>1388</v>
      </c>
      <c r="D2767">
        <v>718160</v>
      </c>
      <c r="E2767" t="s">
        <v>10</v>
      </c>
      <c r="F2767">
        <v>53.316699999999997</v>
      </c>
      <c r="G2767">
        <v>-60.416699999999999</v>
      </c>
      <c r="H2767">
        <v>-4</v>
      </c>
      <c r="I2767">
        <v>48.8</v>
      </c>
      <c r="J2767" t="str">
        <f>HYPERLINK("https://climate.onebuilding.org/WMO_Region_4_North_and_Central_America/CAN_Canada/NL_Newfoundland_and_Labrador/CAN_NL_Goose.Bay.AP-CFB.Goose.Bay.718160_TMYx.zip")</f>
        <v>https://climate.onebuilding.org/WMO_Region_4_North_and_Central_America/CAN_Canada/NL_Newfoundland_and_Labrador/CAN_NL_Goose.Bay.AP-CFB.Goose.Bay.718160_TMYx.zip</v>
      </c>
    </row>
    <row r="2768" spans="1:10" x14ac:dyDescent="0.25">
      <c r="A2768" t="s">
        <v>6</v>
      </c>
      <c r="B2768" t="s">
        <v>11</v>
      </c>
      <c r="C2768" t="s">
        <v>1390</v>
      </c>
      <c r="D2768">
        <v>718171</v>
      </c>
      <c r="E2768" t="s">
        <v>10</v>
      </c>
      <c r="F2768">
        <v>52.274929999999998</v>
      </c>
      <c r="G2768">
        <v>-55.584760000000003</v>
      </c>
      <c r="H2768">
        <v>-4</v>
      </c>
      <c r="I2768">
        <v>5</v>
      </c>
      <c r="J2768" t="str">
        <f>HYPERLINK("https://climate.onebuilding.org/WMO_Region_4_North_and_Central_America/CAN_Canada/NL_Newfoundland_and_Labrador/CAN_NL_Battle.Harbour.718171_TMYx.zip")</f>
        <v>https://climate.onebuilding.org/WMO_Region_4_North_and_Central_America/CAN_Canada/NL_Newfoundland_and_Labrador/CAN_NL_Battle.Harbour.718171_TMYx.zip</v>
      </c>
    </row>
    <row r="2769" spans="1:10" x14ac:dyDescent="0.25">
      <c r="A2769" t="s">
        <v>6</v>
      </c>
      <c r="B2769" t="s">
        <v>11</v>
      </c>
      <c r="C2769" t="s">
        <v>1391</v>
      </c>
      <c r="D2769">
        <v>718180</v>
      </c>
      <c r="E2769" t="s">
        <v>1392</v>
      </c>
      <c r="F2769">
        <v>53.683900000000001</v>
      </c>
      <c r="G2769">
        <v>-57.04</v>
      </c>
      <c r="H2769">
        <v>-4</v>
      </c>
      <c r="I2769">
        <v>14.3</v>
      </c>
      <c r="J2769" t="str">
        <f>HYPERLINK("https://climate.onebuilding.org/WMO_Region_4_North_and_Central_America/CAN_Canada/NL_Newfoundland_and_Labrador/CAN_NL_Cartwright.AP.718180_TMYx.2004-2018.zip")</f>
        <v>https://climate.onebuilding.org/WMO_Region_4_North_and_Central_America/CAN_Canada/NL_Newfoundland_and_Labrador/CAN_NL_Cartwright.AP.718180_TMYx.2004-2018.zip</v>
      </c>
    </row>
    <row r="2770" spans="1:10" x14ac:dyDescent="0.25">
      <c r="A2770" t="s">
        <v>6</v>
      </c>
      <c r="B2770" t="s">
        <v>11</v>
      </c>
      <c r="C2770" t="s">
        <v>1391</v>
      </c>
      <c r="D2770">
        <v>718180</v>
      </c>
      <c r="E2770" t="s">
        <v>10</v>
      </c>
      <c r="F2770">
        <v>53.683889999999998</v>
      </c>
      <c r="G2770">
        <v>-57.04</v>
      </c>
      <c r="H2770">
        <v>-4</v>
      </c>
      <c r="I2770">
        <v>14.3</v>
      </c>
      <c r="J2770" t="str">
        <f>HYPERLINK("https://climate.onebuilding.org/WMO_Region_4_North_and_Central_America/CAN_Canada/NL_Newfoundland_and_Labrador/CAN_NL_Cartwright.AP.718180_TMYx.2007-2021.zip")</f>
        <v>https://climate.onebuilding.org/WMO_Region_4_North_and_Central_America/CAN_Canada/NL_Newfoundland_and_Labrador/CAN_NL_Cartwright.AP.718180_TMYx.2007-2021.zip</v>
      </c>
    </row>
    <row r="2771" spans="1:10" x14ac:dyDescent="0.25">
      <c r="A2771" t="s">
        <v>6</v>
      </c>
      <c r="B2771" t="s">
        <v>11</v>
      </c>
      <c r="C2771" t="s">
        <v>1391</v>
      </c>
      <c r="D2771">
        <v>718180</v>
      </c>
      <c r="E2771" t="s">
        <v>10</v>
      </c>
      <c r="F2771">
        <v>53.683889999999998</v>
      </c>
      <c r="G2771">
        <v>-57.04</v>
      </c>
      <c r="H2771">
        <v>-4</v>
      </c>
      <c r="I2771">
        <v>14.3</v>
      </c>
      <c r="J2771" t="str">
        <f>HYPERLINK("https://climate.onebuilding.org/WMO_Region_4_North_and_Central_America/CAN_Canada/NL_Newfoundland_and_Labrador/CAN_NL_Cartwright.AP.718180_TMYx.2009-2023.zip")</f>
        <v>https://climate.onebuilding.org/WMO_Region_4_North_and_Central_America/CAN_Canada/NL_Newfoundland_and_Labrador/CAN_NL_Cartwright.AP.718180_TMYx.2009-2023.zip</v>
      </c>
    </row>
    <row r="2772" spans="1:10" x14ac:dyDescent="0.25">
      <c r="A2772" t="s">
        <v>6</v>
      </c>
      <c r="B2772" t="s">
        <v>11</v>
      </c>
      <c r="C2772" t="s">
        <v>1391</v>
      </c>
      <c r="D2772">
        <v>718180</v>
      </c>
      <c r="E2772" t="s">
        <v>10</v>
      </c>
      <c r="F2772">
        <v>53.683889999999998</v>
      </c>
      <c r="G2772">
        <v>-57.04</v>
      </c>
      <c r="H2772">
        <v>-4</v>
      </c>
      <c r="I2772">
        <v>14.3</v>
      </c>
      <c r="J2772" t="str">
        <f>HYPERLINK("https://climate.onebuilding.org/WMO_Region_4_North_and_Central_America/CAN_Canada/NL_Newfoundland_and_Labrador/CAN_NL_Cartwright.AP.718180_TMYx.zip")</f>
        <v>https://climate.onebuilding.org/WMO_Region_4_North_and_Central_America/CAN_Canada/NL_Newfoundland_and_Labrador/CAN_NL_Cartwright.AP.718180_TMYx.zip</v>
      </c>
    </row>
    <row r="2773" spans="1:10" x14ac:dyDescent="0.25">
      <c r="A2773" t="s">
        <v>6</v>
      </c>
      <c r="B2773" t="s">
        <v>11</v>
      </c>
      <c r="C2773" t="s">
        <v>1393</v>
      </c>
      <c r="D2773">
        <v>718190</v>
      </c>
      <c r="E2773" t="s">
        <v>1394</v>
      </c>
      <c r="F2773">
        <v>51.3919</v>
      </c>
      <c r="G2773">
        <v>-56.068899999999999</v>
      </c>
      <c r="H2773">
        <v>-3.5</v>
      </c>
      <c r="I2773">
        <v>32.9</v>
      </c>
      <c r="J2773" t="str">
        <f>HYPERLINK("https://climate.onebuilding.org/WMO_Region_4_North_and_Central_America/CAN_Canada/NL_Newfoundland_and_Labrador/CAN_NL_St.Anthony.AP.718190_TMYx.2004-2018.zip")</f>
        <v>https://climate.onebuilding.org/WMO_Region_4_North_and_Central_America/CAN_Canada/NL_Newfoundland_and_Labrador/CAN_NL_St.Anthony.AP.718190_TMYx.2004-2018.zip</v>
      </c>
    </row>
    <row r="2774" spans="1:10" x14ac:dyDescent="0.25">
      <c r="A2774" t="s">
        <v>6</v>
      </c>
      <c r="B2774" t="s">
        <v>11</v>
      </c>
      <c r="C2774" t="s">
        <v>1393</v>
      </c>
      <c r="D2774">
        <v>718190</v>
      </c>
      <c r="E2774" t="s">
        <v>10</v>
      </c>
      <c r="F2774">
        <v>51.3919</v>
      </c>
      <c r="G2774">
        <v>-56.068899999999999</v>
      </c>
      <c r="H2774">
        <v>-3.5</v>
      </c>
      <c r="I2774">
        <v>32.9</v>
      </c>
      <c r="J2774" t="str">
        <f>HYPERLINK("https://climate.onebuilding.org/WMO_Region_4_North_and_Central_America/CAN_Canada/NL_Newfoundland_and_Labrador/CAN_NL_St.Anthony.AP.718190_TMYx.2007-2021.zip")</f>
        <v>https://climate.onebuilding.org/WMO_Region_4_North_and_Central_America/CAN_Canada/NL_Newfoundland_and_Labrador/CAN_NL_St.Anthony.AP.718190_TMYx.2007-2021.zip</v>
      </c>
    </row>
    <row r="2775" spans="1:10" x14ac:dyDescent="0.25">
      <c r="A2775" t="s">
        <v>6</v>
      </c>
      <c r="B2775" t="s">
        <v>11</v>
      </c>
      <c r="C2775" t="s">
        <v>1393</v>
      </c>
      <c r="D2775">
        <v>718190</v>
      </c>
      <c r="E2775" t="s">
        <v>10</v>
      </c>
      <c r="F2775">
        <v>51.3919</v>
      </c>
      <c r="G2775">
        <v>-56.068899999999999</v>
      </c>
      <c r="H2775">
        <v>-3.5</v>
      </c>
      <c r="I2775">
        <v>32.9</v>
      </c>
      <c r="J2775" t="str">
        <f>HYPERLINK("https://climate.onebuilding.org/WMO_Region_4_North_and_Central_America/CAN_Canada/NL_Newfoundland_and_Labrador/CAN_NL_St.Anthony.AP.718190_TMYx.2009-2023.zip")</f>
        <v>https://climate.onebuilding.org/WMO_Region_4_North_and_Central_America/CAN_Canada/NL_Newfoundland_and_Labrador/CAN_NL_St.Anthony.AP.718190_TMYx.2009-2023.zip</v>
      </c>
    </row>
    <row r="2776" spans="1:10" x14ac:dyDescent="0.25">
      <c r="A2776" t="s">
        <v>6</v>
      </c>
      <c r="B2776" t="s">
        <v>11</v>
      </c>
      <c r="C2776" t="s">
        <v>1393</v>
      </c>
      <c r="D2776">
        <v>718190</v>
      </c>
      <c r="E2776" t="s">
        <v>10</v>
      </c>
      <c r="F2776">
        <v>51.3919</v>
      </c>
      <c r="G2776">
        <v>-56.068899999999999</v>
      </c>
      <c r="H2776">
        <v>-3.5</v>
      </c>
      <c r="I2776">
        <v>32.9</v>
      </c>
      <c r="J2776" t="str">
        <f>HYPERLINK("https://climate.onebuilding.org/WMO_Region_4_North_and_Central_America/CAN_Canada/NL_Newfoundland_and_Labrador/CAN_NL_St.Anthony.AP.718190_TMYx.zip")</f>
        <v>https://climate.onebuilding.org/WMO_Region_4_North_and_Central_America/CAN_Canada/NL_Newfoundland_and_Labrador/CAN_NL_St.Anthony.AP.718190_TMYx.zip</v>
      </c>
    </row>
    <row r="2777" spans="1:10" x14ac:dyDescent="0.25">
      <c r="A2777" t="s">
        <v>6</v>
      </c>
      <c r="B2777" t="s">
        <v>130</v>
      </c>
      <c r="C2777" t="s">
        <v>1395</v>
      </c>
      <c r="D2777">
        <v>718200</v>
      </c>
      <c r="E2777" t="s">
        <v>1396</v>
      </c>
      <c r="F2777">
        <v>44.223300000000002</v>
      </c>
      <c r="G2777">
        <v>-76.599500000000006</v>
      </c>
      <c r="H2777">
        <v>-5</v>
      </c>
      <c r="I2777">
        <v>93</v>
      </c>
      <c r="J2777" t="str">
        <f>HYPERLINK("https://climate.onebuilding.org/WMO_Region_4_North_and_Central_America/CAN_Canada/ON_Ontario/CAN_ON_Kingston.AP.718200_TMYx.2004-2018.zip")</f>
        <v>https://climate.onebuilding.org/WMO_Region_4_North_and_Central_America/CAN_Canada/ON_Ontario/CAN_ON_Kingston.AP.718200_TMYx.2004-2018.zip</v>
      </c>
    </row>
    <row r="2778" spans="1:10" x14ac:dyDescent="0.25">
      <c r="A2778" t="s">
        <v>6</v>
      </c>
      <c r="B2778" t="s">
        <v>130</v>
      </c>
      <c r="C2778" t="s">
        <v>1395</v>
      </c>
      <c r="D2778">
        <v>718200</v>
      </c>
      <c r="E2778" t="s">
        <v>10</v>
      </c>
      <c r="F2778">
        <v>44.223300000000002</v>
      </c>
      <c r="G2778">
        <v>-76.599500000000006</v>
      </c>
      <c r="H2778">
        <v>-5</v>
      </c>
      <c r="I2778">
        <v>93</v>
      </c>
      <c r="J2778" t="str">
        <f>HYPERLINK("https://climate.onebuilding.org/WMO_Region_4_North_and_Central_America/CAN_Canada/ON_Ontario/CAN_ON_Kingston.AP.718200_TMYx.2007-2021.zip")</f>
        <v>https://climate.onebuilding.org/WMO_Region_4_North_and_Central_America/CAN_Canada/ON_Ontario/CAN_ON_Kingston.AP.718200_TMYx.2007-2021.zip</v>
      </c>
    </row>
    <row r="2779" spans="1:10" x14ac:dyDescent="0.25">
      <c r="A2779" t="s">
        <v>6</v>
      </c>
      <c r="B2779" t="s">
        <v>130</v>
      </c>
      <c r="C2779" t="s">
        <v>1395</v>
      </c>
      <c r="D2779">
        <v>718200</v>
      </c>
      <c r="E2779" t="s">
        <v>10</v>
      </c>
      <c r="F2779">
        <v>44.223300000000002</v>
      </c>
      <c r="G2779">
        <v>-76.599500000000006</v>
      </c>
      <c r="H2779">
        <v>-5</v>
      </c>
      <c r="I2779">
        <v>93</v>
      </c>
      <c r="J2779" t="str">
        <f>HYPERLINK("https://climate.onebuilding.org/WMO_Region_4_North_and_Central_America/CAN_Canada/ON_Ontario/CAN_ON_Kingston.AP.718200_TMYx.2009-2023.zip")</f>
        <v>https://climate.onebuilding.org/WMO_Region_4_North_and_Central_America/CAN_Canada/ON_Ontario/CAN_ON_Kingston.AP.718200_TMYx.2009-2023.zip</v>
      </c>
    </row>
    <row r="2780" spans="1:10" x14ac:dyDescent="0.25">
      <c r="A2780" t="s">
        <v>6</v>
      </c>
      <c r="B2780" t="s">
        <v>130</v>
      </c>
      <c r="C2780" t="s">
        <v>1395</v>
      </c>
      <c r="D2780">
        <v>718200</v>
      </c>
      <c r="E2780" t="s">
        <v>10</v>
      </c>
      <c r="F2780">
        <v>44.223300000000002</v>
      </c>
      <c r="G2780">
        <v>-76.599500000000006</v>
      </c>
      <c r="H2780">
        <v>-5</v>
      </c>
      <c r="I2780">
        <v>93</v>
      </c>
      <c r="J2780" t="str">
        <f>HYPERLINK("https://climate.onebuilding.org/WMO_Region_4_North_and_Central_America/CAN_Canada/ON_Ontario/CAN_ON_Kingston.AP.718200_TMYx.zip")</f>
        <v>https://climate.onebuilding.org/WMO_Region_4_North_and_Central_America/CAN_Canada/ON_Ontario/CAN_ON_Kingston.AP.718200_TMYx.zip</v>
      </c>
    </row>
    <row r="2781" spans="1:10" x14ac:dyDescent="0.25">
      <c r="A2781" t="s">
        <v>6</v>
      </c>
      <c r="B2781" t="s">
        <v>14</v>
      </c>
      <c r="C2781" t="s">
        <v>1397</v>
      </c>
      <c r="D2781">
        <v>718210</v>
      </c>
      <c r="E2781" t="s">
        <v>1398</v>
      </c>
      <c r="F2781">
        <v>49.757800000000003</v>
      </c>
      <c r="G2781">
        <v>-77.793099999999995</v>
      </c>
      <c r="H2781">
        <v>-5</v>
      </c>
      <c r="I2781">
        <v>281</v>
      </c>
      <c r="J2781" t="str">
        <f>HYPERLINK("https://climate.onebuilding.org/WMO_Region_4_North_and_Central_America/CAN_Canada/QC_Quebec/CAN_QC_Matagami.AP.718210_TMYx.2004-2018.zip")</f>
        <v>https://climate.onebuilding.org/WMO_Region_4_North_and_Central_America/CAN_Canada/QC_Quebec/CAN_QC_Matagami.AP.718210_TMYx.2004-2018.zip</v>
      </c>
    </row>
    <row r="2782" spans="1:10" x14ac:dyDescent="0.25">
      <c r="A2782" t="s">
        <v>6</v>
      </c>
      <c r="B2782" t="s">
        <v>14</v>
      </c>
      <c r="C2782" t="s">
        <v>1397</v>
      </c>
      <c r="D2782">
        <v>718210</v>
      </c>
      <c r="E2782" t="s">
        <v>10</v>
      </c>
      <c r="F2782">
        <v>49.757800000000003</v>
      </c>
      <c r="G2782">
        <v>-77.793099999999995</v>
      </c>
      <c r="H2782">
        <v>-5</v>
      </c>
      <c r="I2782">
        <v>281</v>
      </c>
      <c r="J2782" t="str">
        <f>HYPERLINK("https://climate.onebuilding.org/WMO_Region_4_North_and_Central_America/CAN_Canada/QC_Quebec/CAN_QC_Matagami.AP.718210_TMYx.2007-2021.zip")</f>
        <v>https://climate.onebuilding.org/WMO_Region_4_North_and_Central_America/CAN_Canada/QC_Quebec/CAN_QC_Matagami.AP.718210_TMYx.2007-2021.zip</v>
      </c>
    </row>
    <row r="2783" spans="1:10" x14ac:dyDescent="0.25">
      <c r="A2783" t="s">
        <v>6</v>
      </c>
      <c r="B2783" t="s">
        <v>14</v>
      </c>
      <c r="C2783" t="s">
        <v>1397</v>
      </c>
      <c r="D2783">
        <v>718210</v>
      </c>
      <c r="E2783" t="s">
        <v>10</v>
      </c>
      <c r="F2783">
        <v>49.757800000000003</v>
      </c>
      <c r="G2783">
        <v>-77.793099999999995</v>
      </c>
      <c r="H2783">
        <v>-5</v>
      </c>
      <c r="I2783">
        <v>281</v>
      </c>
      <c r="J2783" t="str">
        <f>HYPERLINK("https://climate.onebuilding.org/WMO_Region_4_North_and_Central_America/CAN_Canada/QC_Quebec/CAN_QC_Matagami.AP.718210_TMYx.2009-2023.zip")</f>
        <v>https://climate.onebuilding.org/WMO_Region_4_North_and_Central_America/CAN_Canada/QC_Quebec/CAN_QC_Matagami.AP.718210_TMYx.2009-2023.zip</v>
      </c>
    </row>
    <row r="2784" spans="1:10" x14ac:dyDescent="0.25">
      <c r="A2784" t="s">
        <v>6</v>
      </c>
      <c r="B2784" t="s">
        <v>14</v>
      </c>
      <c r="C2784" t="s">
        <v>1397</v>
      </c>
      <c r="D2784">
        <v>718210</v>
      </c>
      <c r="E2784" t="s">
        <v>10</v>
      </c>
      <c r="F2784">
        <v>49.757800000000003</v>
      </c>
      <c r="G2784">
        <v>-77.793099999999995</v>
      </c>
      <c r="H2784">
        <v>-5</v>
      </c>
      <c r="I2784">
        <v>281</v>
      </c>
      <c r="J2784" t="str">
        <f>HYPERLINK("https://climate.onebuilding.org/WMO_Region_4_North_and_Central_America/CAN_Canada/QC_Quebec/CAN_QC_Matagami.AP.718210_TMYx.zip")</f>
        <v>https://climate.onebuilding.org/WMO_Region_4_North_and_Central_America/CAN_Canada/QC_Quebec/CAN_QC_Matagami.AP.718210_TMYx.zip</v>
      </c>
    </row>
    <row r="2785" spans="1:10" x14ac:dyDescent="0.25">
      <c r="A2785" t="s">
        <v>6</v>
      </c>
      <c r="B2785" t="s">
        <v>14</v>
      </c>
      <c r="C2785" t="s">
        <v>1399</v>
      </c>
      <c r="D2785">
        <v>718220</v>
      </c>
      <c r="E2785" t="s">
        <v>1400</v>
      </c>
      <c r="F2785">
        <v>49.7667</v>
      </c>
      <c r="G2785">
        <v>-74.533299999999997</v>
      </c>
      <c r="H2785">
        <v>-5</v>
      </c>
      <c r="I2785">
        <v>387.1</v>
      </c>
      <c r="J2785" t="str">
        <f>HYPERLINK("https://climate.onebuilding.org/WMO_Region_4_North_and_Central_America/CAN_Canada/QC_Quebec/CAN_QC_Chibougamau-Chapais.AP.718220_TMYx.2004-2018.zip")</f>
        <v>https://climate.onebuilding.org/WMO_Region_4_North_and_Central_America/CAN_Canada/QC_Quebec/CAN_QC_Chibougamau-Chapais.AP.718220_TMYx.2004-2018.zip</v>
      </c>
    </row>
    <row r="2786" spans="1:10" x14ac:dyDescent="0.25">
      <c r="A2786" t="s">
        <v>6</v>
      </c>
      <c r="B2786" t="s">
        <v>14</v>
      </c>
      <c r="C2786" t="s">
        <v>1399</v>
      </c>
      <c r="D2786">
        <v>718220</v>
      </c>
      <c r="E2786" t="s">
        <v>10</v>
      </c>
      <c r="F2786">
        <v>49.777299999999997</v>
      </c>
      <c r="G2786">
        <v>-74.530299999999997</v>
      </c>
      <c r="H2786">
        <v>-5</v>
      </c>
      <c r="I2786">
        <v>387.1</v>
      </c>
      <c r="J2786" t="str">
        <f>HYPERLINK("https://climate.onebuilding.org/WMO_Region_4_North_and_Central_America/CAN_Canada/QC_Quebec/CAN_QC_Chibougamau-Chapais.AP.718220_TMYx.2007-2021.zip")</f>
        <v>https://climate.onebuilding.org/WMO_Region_4_North_and_Central_America/CAN_Canada/QC_Quebec/CAN_QC_Chibougamau-Chapais.AP.718220_TMYx.2007-2021.zip</v>
      </c>
    </row>
    <row r="2787" spans="1:10" x14ac:dyDescent="0.25">
      <c r="A2787" t="s">
        <v>6</v>
      </c>
      <c r="B2787" t="s">
        <v>14</v>
      </c>
      <c r="C2787" t="s">
        <v>1399</v>
      </c>
      <c r="D2787">
        <v>718220</v>
      </c>
      <c r="E2787" t="s">
        <v>10</v>
      </c>
      <c r="F2787">
        <v>49.777299999999997</v>
      </c>
      <c r="G2787">
        <v>-74.530299999999997</v>
      </c>
      <c r="H2787">
        <v>-5</v>
      </c>
      <c r="I2787">
        <v>387.1</v>
      </c>
      <c r="J2787" t="str">
        <f>HYPERLINK("https://climate.onebuilding.org/WMO_Region_4_North_and_Central_America/CAN_Canada/QC_Quebec/CAN_QC_Chibougamau-Chapais.AP.718220_TMYx.2009-2023.zip")</f>
        <v>https://climate.onebuilding.org/WMO_Region_4_North_and_Central_America/CAN_Canada/QC_Quebec/CAN_QC_Chibougamau-Chapais.AP.718220_TMYx.2009-2023.zip</v>
      </c>
    </row>
    <row r="2788" spans="1:10" x14ac:dyDescent="0.25">
      <c r="A2788" t="s">
        <v>6</v>
      </c>
      <c r="B2788" t="s">
        <v>14</v>
      </c>
      <c r="C2788" t="s">
        <v>1399</v>
      </c>
      <c r="D2788">
        <v>718220</v>
      </c>
      <c r="E2788" t="s">
        <v>10</v>
      </c>
      <c r="F2788">
        <v>49.777299999999997</v>
      </c>
      <c r="G2788">
        <v>-74.530299999999997</v>
      </c>
      <c r="H2788">
        <v>-5</v>
      </c>
      <c r="I2788">
        <v>387.1</v>
      </c>
      <c r="J2788" t="str">
        <f>HYPERLINK("https://climate.onebuilding.org/WMO_Region_4_North_and_Central_America/CAN_Canada/QC_Quebec/CAN_QC_Chibougamau-Chapais.AP.718220_TMYx.zip")</f>
        <v>https://climate.onebuilding.org/WMO_Region_4_North_and_Central_America/CAN_Canada/QC_Quebec/CAN_QC_Chibougamau-Chapais.AP.718220_TMYx.zip</v>
      </c>
    </row>
    <row r="2789" spans="1:10" x14ac:dyDescent="0.25">
      <c r="A2789" t="s">
        <v>6</v>
      </c>
      <c r="B2789" t="s">
        <v>14</v>
      </c>
      <c r="C2789" t="s">
        <v>1401</v>
      </c>
      <c r="D2789">
        <v>718240</v>
      </c>
      <c r="E2789" t="s">
        <v>1402</v>
      </c>
      <c r="F2789">
        <v>49.822499999999998</v>
      </c>
      <c r="G2789">
        <v>-74.975300000000004</v>
      </c>
      <c r="H2789">
        <v>-5</v>
      </c>
      <c r="I2789">
        <v>381.1</v>
      </c>
      <c r="J2789" t="str">
        <f>HYPERLINK("https://climate.onebuilding.org/WMO_Region_4_North_and_Central_America/CAN_Canada/QC_Quebec/CAN_QC_Chapais.718240_TMYx.2004-2018.zip")</f>
        <v>https://climate.onebuilding.org/WMO_Region_4_North_and_Central_America/CAN_Canada/QC_Quebec/CAN_QC_Chapais.718240_TMYx.2004-2018.zip</v>
      </c>
    </row>
    <row r="2790" spans="1:10" x14ac:dyDescent="0.25">
      <c r="A2790" t="s">
        <v>6</v>
      </c>
      <c r="B2790" t="s">
        <v>14</v>
      </c>
      <c r="C2790" t="s">
        <v>1401</v>
      </c>
      <c r="D2790">
        <v>718240</v>
      </c>
      <c r="E2790" t="s">
        <v>10</v>
      </c>
      <c r="F2790">
        <v>49.822499999999998</v>
      </c>
      <c r="G2790">
        <v>-74.975300000000004</v>
      </c>
      <c r="H2790">
        <v>-5</v>
      </c>
      <c r="I2790">
        <v>381.1</v>
      </c>
      <c r="J2790" t="str">
        <f>HYPERLINK("https://climate.onebuilding.org/WMO_Region_4_North_and_Central_America/CAN_Canada/QC_Quebec/CAN_QC_Chapais.718240_TMYx.2007-2021.zip")</f>
        <v>https://climate.onebuilding.org/WMO_Region_4_North_and_Central_America/CAN_Canada/QC_Quebec/CAN_QC_Chapais.718240_TMYx.2007-2021.zip</v>
      </c>
    </row>
    <row r="2791" spans="1:10" x14ac:dyDescent="0.25">
      <c r="A2791" t="s">
        <v>6</v>
      </c>
      <c r="B2791" t="s">
        <v>14</v>
      </c>
      <c r="C2791" t="s">
        <v>1401</v>
      </c>
      <c r="D2791">
        <v>718240</v>
      </c>
      <c r="E2791" t="s">
        <v>10</v>
      </c>
      <c r="F2791">
        <v>49.822499999999998</v>
      </c>
      <c r="G2791">
        <v>-74.975300000000004</v>
      </c>
      <c r="H2791">
        <v>-5</v>
      </c>
      <c r="I2791">
        <v>381.1</v>
      </c>
      <c r="J2791" t="str">
        <f>HYPERLINK("https://climate.onebuilding.org/WMO_Region_4_North_and_Central_America/CAN_Canada/QC_Quebec/CAN_QC_Chapais.718240_TMYx.2009-2023.zip")</f>
        <v>https://climate.onebuilding.org/WMO_Region_4_North_and_Central_America/CAN_Canada/QC_Quebec/CAN_QC_Chapais.718240_TMYx.2009-2023.zip</v>
      </c>
    </row>
    <row r="2792" spans="1:10" x14ac:dyDescent="0.25">
      <c r="A2792" t="s">
        <v>6</v>
      </c>
      <c r="B2792" t="s">
        <v>14</v>
      </c>
      <c r="C2792" t="s">
        <v>1401</v>
      </c>
      <c r="D2792">
        <v>718240</v>
      </c>
      <c r="E2792" t="s">
        <v>10</v>
      </c>
      <c r="F2792">
        <v>49.822499999999998</v>
      </c>
      <c r="G2792">
        <v>-74.975300000000004</v>
      </c>
      <c r="H2792">
        <v>-5</v>
      </c>
      <c r="I2792">
        <v>381.1</v>
      </c>
      <c r="J2792" t="str">
        <f>HYPERLINK("https://climate.onebuilding.org/WMO_Region_4_North_and_Central_America/CAN_Canada/QC_Quebec/CAN_QC_Chapais.718240_TMYx.zip")</f>
        <v>https://climate.onebuilding.org/WMO_Region_4_North_and_Central_America/CAN_Canada/QC_Quebec/CAN_QC_Chapais.718240_TMYx.zip</v>
      </c>
    </row>
    <row r="2793" spans="1:10" x14ac:dyDescent="0.25">
      <c r="A2793" t="s">
        <v>6</v>
      </c>
      <c r="B2793" t="s">
        <v>14</v>
      </c>
      <c r="C2793" t="s">
        <v>1403</v>
      </c>
      <c r="D2793">
        <v>718241</v>
      </c>
      <c r="E2793" t="s">
        <v>10</v>
      </c>
      <c r="F2793">
        <v>51.956099999999999</v>
      </c>
      <c r="G2793">
        <v>-68.139499999999998</v>
      </c>
      <c r="H2793">
        <v>-5</v>
      </c>
      <c r="I2793">
        <v>566</v>
      </c>
      <c r="J2793" t="str">
        <f>HYPERLINK("https://climate.onebuilding.org/WMO_Region_4_North_and_Central_America/CAN_Canada/QC_Quebec/CAN_QC_Gagnon.AP.718241_TMYx.zip")</f>
        <v>https://climate.onebuilding.org/WMO_Region_4_North_and_Central_America/CAN_Canada/QC_Quebec/CAN_QC_Gagnon.AP.718241_TMYx.zip</v>
      </c>
    </row>
    <row r="2794" spans="1:10" x14ac:dyDescent="0.25">
      <c r="A2794" t="s">
        <v>6</v>
      </c>
      <c r="B2794" t="s">
        <v>11</v>
      </c>
      <c r="C2794" t="s">
        <v>1404</v>
      </c>
      <c r="D2794">
        <v>718250</v>
      </c>
      <c r="E2794" t="s">
        <v>1405</v>
      </c>
      <c r="F2794">
        <v>52.927199999999999</v>
      </c>
      <c r="G2794">
        <v>-66.874200000000002</v>
      </c>
      <c r="H2794">
        <v>-4</v>
      </c>
      <c r="I2794">
        <v>551.4</v>
      </c>
      <c r="J2794" t="str">
        <f>HYPERLINK("https://climate.onebuilding.org/WMO_Region_4_North_and_Central_America/CAN_Canada/NL_Newfoundland_and_Labrador/CAN_NL_Wabush.AP.718250_TMYx.2004-2018.zip")</f>
        <v>https://climate.onebuilding.org/WMO_Region_4_North_and_Central_America/CAN_Canada/NL_Newfoundland_and_Labrador/CAN_NL_Wabush.AP.718250_TMYx.2004-2018.zip</v>
      </c>
    </row>
    <row r="2795" spans="1:10" x14ac:dyDescent="0.25">
      <c r="A2795" t="s">
        <v>6</v>
      </c>
      <c r="B2795" t="s">
        <v>11</v>
      </c>
      <c r="C2795" t="s">
        <v>1404</v>
      </c>
      <c r="D2795">
        <v>718250</v>
      </c>
      <c r="E2795" t="s">
        <v>10</v>
      </c>
      <c r="F2795">
        <v>52.927199999999999</v>
      </c>
      <c r="G2795">
        <v>-66.874200000000002</v>
      </c>
      <c r="H2795">
        <v>-4</v>
      </c>
      <c r="I2795">
        <v>551.4</v>
      </c>
      <c r="J2795" t="str">
        <f>HYPERLINK("https://climate.onebuilding.org/WMO_Region_4_North_and_Central_America/CAN_Canada/NL_Newfoundland_and_Labrador/CAN_NL_Wabush.AP.718250_TMYx.2007-2021.zip")</f>
        <v>https://climate.onebuilding.org/WMO_Region_4_North_and_Central_America/CAN_Canada/NL_Newfoundland_and_Labrador/CAN_NL_Wabush.AP.718250_TMYx.2007-2021.zip</v>
      </c>
    </row>
    <row r="2796" spans="1:10" x14ac:dyDescent="0.25">
      <c r="A2796" t="s">
        <v>6</v>
      </c>
      <c r="B2796" t="s">
        <v>11</v>
      </c>
      <c r="C2796" t="s">
        <v>1404</v>
      </c>
      <c r="D2796">
        <v>718250</v>
      </c>
      <c r="E2796" t="s">
        <v>10</v>
      </c>
      <c r="F2796">
        <v>52.927199999999999</v>
      </c>
      <c r="G2796">
        <v>-66.874200000000002</v>
      </c>
      <c r="H2796">
        <v>-4</v>
      </c>
      <c r="I2796">
        <v>551.4</v>
      </c>
      <c r="J2796" t="str">
        <f>HYPERLINK("https://climate.onebuilding.org/WMO_Region_4_North_and_Central_America/CAN_Canada/NL_Newfoundland_and_Labrador/CAN_NL_Wabush.AP.718250_TMYx.2009-2023.zip")</f>
        <v>https://climate.onebuilding.org/WMO_Region_4_North_and_Central_America/CAN_Canada/NL_Newfoundland_and_Labrador/CAN_NL_Wabush.AP.718250_TMYx.2009-2023.zip</v>
      </c>
    </row>
    <row r="2797" spans="1:10" x14ac:dyDescent="0.25">
      <c r="A2797" t="s">
        <v>6</v>
      </c>
      <c r="B2797" t="s">
        <v>11</v>
      </c>
      <c r="C2797" t="s">
        <v>1404</v>
      </c>
      <c r="D2797">
        <v>718250</v>
      </c>
      <c r="E2797" t="s">
        <v>10</v>
      </c>
      <c r="F2797">
        <v>52.927199999999999</v>
      </c>
      <c r="G2797">
        <v>-66.874200000000002</v>
      </c>
      <c r="H2797">
        <v>-4</v>
      </c>
      <c r="I2797">
        <v>551.4</v>
      </c>
      <c r="J2797" t="str">
        <f>HYPERLINK("https://climate.onebuilding.org/WMO_Region_4_North_and_Central_America/CAN_Canada/NL_Newfoundland_and_Labrador/CAN_NL_Wabush.AP.718250_TMYx.zip")</f>
        <v>https://climate.onebuilding.org/WMO_Region_4_North_and_Central_America/CAN_Canada/NL_Newfoundland_and_Labrador/CAN_NL_Wabush.AP.718250_TMYx.zip</v>
      </c>
    </row>
    <row r="2798" spans="1:10" x14ac:dyDescent="0.25">
      <c r="A2798" t="s">
        <v>6</v>
      </c>
      <c r="B2798" t="s">
        <v>42</v>
      </c>
      <c r="C2798" t="s">
        <v>1406</v>
      </c>
      <c r="D2798">
        <v>718260</v>
      </c>
      <c r="E2798" t="s">
        <v>1407</v>
      </c>
      <c r="F2798">
        <v>66.143299999999996</v>
      </c>
      <c r="G2798">
        <v>-65.711399999999998</v>
      </c>
      <c r="H2798">
        <v>-5</v>
      </c>
      <c r="I2798">
        <v>22.6</v>
      </c>
      <c r="J2798" t="str">
        <f>HYPERLINK("https://climate.onebuilding.org/WMO_Region_4_North_and_Central_America/CAN_Canada/NU_Nunavut/CAN_NU_Pangnirtung.AP.718260_TMYx.2004-2018.zip")</f>
        <v>https://climate.onebuilding.org/WMO_Region_4_North_and_Central_America/CAN_Canada/NU_Nunavut/CAN_NU_Pangnirtung.AP.718260_TMYx.2004-2018.zip</v>
      </c>
    </row>
    <row r="2799" spans="1:10" x14ac:dyDescent="0.25">
      <c r="A2799" t="s">
        <v>6</v>
      </c>
      <c r="B2799" t="s">
        <v>42</v>
      </c>
      <c r="C2799" t="s">
        <v>1406</v>
      </c>
      <c r="D2799">
        <v>718260</v>
      </c>
      <c r="E2799" t="s">
        <v>10</v>
      </c>
      <c r="F2799">
        <v>66.143299999999996</v>
      </c>
      <c r="G2799">
        <v>-65.711399999999998</v>
      </c>
      <c r="H2799">
        <v>-5</v>
      </c>
      <c r="I2799">
        <v>22.6</v>
      </c>
      <c r="J2799" t="str">
        <f>HYPERLINK("https://climate.onebuilding.org/WMO_Region_4_North_and_Central_America/CAN_Canada/NU_Nunavut/CAN_NU_Pangnirtung.AP.718260_TMYx.2007-2021.zip")</f>
        <v>https://climate.onebuilding.org/WMO_Region_4_North_and_Central_America/CAN_Canada/NU_Nunavut/CAN_NU_Pangnirtung.AP.718260_TMYx.2007-2021.zip</v>
      </c>
    </row>
    <row r="2800" spans="1:10" x14ac:dyDescent="0.25">
      <c r="A2800" t="s">
        <v>6</v>
      </c>
      <c r="B2800" t="s">
        <v>42</v>
      </c>
      <c r="C2800" t="s">
        <v>1406</v>
      </c>
      <c r="D2800">
        <v>718260</v>
      </c>
      <c r="E2800" t="s">
        <v>10</v>
      </c>
      <c r="F2800">
        <v>66.143299999999996</v>
      </c>
      <c r="G2800">
        <v>-65.711399999999998</v>
      </c>
      <c r="H2800">
        <v>-5</v>
      </c>
      <c r="I2800">
        <v>22.6</v>
      </c>
      <c r="J2800" t="str">
        <f>HYPERLINK("https://climate.onebuilding.org/WMO_Region_4_North_and_Central_America/CAN_Canada/NU_Nunavut/CAN_NU_Pangnirtung.AP.718260_TMYx.2009-2023.zip")</f>
        <v>https://climate.onebuilding.org/WMO_Region_4_North_and_Central_America/CAN_Canada/NU_Nunavut/CAN_NU_Pangnirtung.AP.718260_TMYx.2009-2023.zip</v>
      </c>
    </row>
    <row r="2801" spans="1:10" x14ac:dyDescent="0.25">
      <c r="A2801" t="s">
        <v>6</v>
      </c>
      <c r="B2801" t="s">
        <v>42</v>
      </c>
      <c r="C2801" t="s">
        <v>1406</v>
      </c>
      <c r="D2801">
        <v>718260</v>
      </c>
      <c r="E2801" t="s">
        <v>10</v>
      </c>
      <c r="F2801">
        <v>66.143299999999996</v>
      </c>
      <c r="G2801">
        <v>-65.711399999999998</v>
      </c>
      <c r="H2801">
        <v>-5</v>
      </c>
      <c r="I2801">
        <v>22.6</v>
      </c>
      <c r="J2801" t="str">
        <f>HYPERLINK("https://climate.onebuilding.org/WMO_Region_4_North_and_Central_America/CAN_Canada/NU_Nunavut/CAN_NU_Pangnirtung.AP.718260_TMYx.zip")</f>
        <v>https://climate.onebuilding.org/WMO_Region_4_North_and_Central_America/CAN_Canada/NU_Nunavut/CAN_NU_Pangnirtung.AP.718260_TMYx.zip</v>
      </c>
    </row>
    <row r="2802" spans="1:10" x14ac:dyDescent="0.25">
      <c r="A2802" t="s">
        <v>6</v>
      </c>
      <c r="B2802" t="s">
        <v>14</v>
      </c>
      <c r="C2802" t="s">
        <v>1408</v>
      </c>
      <c r="D2802">
        <v>718270</v>
      </c>
      <c r="E2802" t="s">
        <v>1409</v>
      </c>
      <c r="F2802">
        <v>53.633299999999998</v>
      </c>
      <c r="G2802">
        <v>-77.7</v>
      </c>
      <c r="H2802">
        <v>-5</v>
      </c>
      <c r="I2802">
        <v>195.1</v>
      </c>
      <c r="J2802" t="str">
        <f>HYPERLINK("https://climate.onebuilding.org/WMO_Region_4_North_and_Central_America/CAN_Canada/QC_Quebec/CAN_QC_La.Grande.Riviere.AP.718270_TMYx.2004-2018.zip")</f>
        <v>https://climate.onebuilding.org/WMO_Region_4_North_and_Central_America/CAN_Canada/QC_Quebec/CAN_QC_La.Grande.Riviere.AP.718270_TMYx.2004-2018.zip</v>
      </c>
    </row>
    <row r="2803" spans="1:10" x14ac:dyDescent="0.25">
      <c r="A2803" t="s">
        <v>6</v>
      </c>
      <c r="B2803" t="s">
        <v>14</v>
      </c>
      <c r="C2803" t="s">
        <v>1408</v>
      </c>
      <c r="D2803">
        <v>718270</v>
      </c>
      <c r="E2803" t="s">
        <v>10</v>
      </c>
      <c r="F2803">
        <v>53.633299999999998</v>
      </c>
      <c r="G2803">
        <v>-77.7</v>
      </c>
      <c r="H2803">
        <v>-5</v>
      </c>
      <c r="I2803">
        <v>195.1</v>
      </c>
      <c r="J2803" t="str">
        <f>HYPERLINK("https://climate.onebuilding.org/WMO_Region_4_North_and_Central_America/CAN_Canada/QC_Quebec/CAN_QC_La.Grande.Riviere.AP.718270_TMYx.2007-2021.zip")</f>
        <v>https://climate.onebuilding.org/WMO_Region_4_North_and_Central_America/CAN_Canada/QC_Quebec/CAN_QC_La.Grande.Riviere.AP.718270_TMYx.2007-2021.zip</v>
      </c>
    </row>
    <row r="2804" spans="1:10" x14ac:dyDescent="0.25">
      <c r="A2804" t="s">
        <v>6</v>
      </c>
      <c r="B2804" t="s">
        <v>14</v>
      </c>
      <c r="C2804" t="s">
        <v>1408</v>
      </c>
      <c r="D2804">
        <v>718270</v>
      </c>
      <c r="E2804" t="s">
        <v>10</v>
      </c>
      <c r="F2804">
        <v>53.633299999999998</v>
      </c>
      <c r="G2804">
        <v>-77.7</v>
      </c>
      <c r="H2804">
        <v>-5</v>
      </c>
      <c r="I2804">
        <v>195.1</v>
      </c>
      <c r="J2804" t="str">
        <f>HYPERLINK("https://climate.onebuilding.org/WMO_Region_4_North_and_Central_America/CAN_Canada/QC_Quebec/CAN_QC_La.Grande.Riviere.AP.718270_TMYx.2009-2023.zip")</f>
        <v>https://climate.onebuilding.org/WMO_Region_4_North_and_Central_America/CAN_Canada/QC_Quebec/CAN_QC_La.Grande.Riviere.AP.718270_TMYx.2009-2023.zip</v>
      </c>
    </row>
    <row r="2805" spans="1:10" x14ac:dyDescent="0.25">
      <c r="A2805" t="s">
        <v>6</v>
      </c>
      <c r="B2805" t="s">
        <v>14</v>
      </c>
      <c r="C2805" t="s">
        <v>1408</v>
      </c>
      <c r="D2805">
        <v>718270</v>
      </c>
      <c r="E2805" t="s">
        <v>10</v>
      </c>
      <c r="F2805">
        <v>53.633299999999998</v>
      </c>
      <c r="G2805">
        <v>-77.7</v>
      </c>
      <c r="H2805">
        <v>-5</v>
      </c>
      <c r="I2805">
        <v>195.1</v>
      </c>
      <c r="J2805" t="str">
        <f>HYPERLINK("https://climate.onebuilding.org/WMO_Region_4_North_and_Central_America/CAN_Canada/QC_Quebec/CAN_QC_La.Grande.Riviere.AP.718270_TMYx.zip")</f>
        <v>https://climate.onebuilding.org/WMO_Region_4_North_and_Central_America/CAN_Canada/QC_Quebec/CAN_QC_La.Grande.Riviere.AP.718270_TMYx.zip</v>
      </c>
    </row>
    <row r="2806" spans="1:10" x14ac:dyDescent="0.25">
      <c r="A2806" t="s">
        <v>6</v>
      </c>
      <c r="B2806" t="s">
        <v>14</v>
      </c>
      <c r="C2806" t="s">
        <v>1410</v>
      </c>
      <c r="D2806">
        <v>718275</v>
      </c>
      <c r="E2806" t="s">
        <v>10</v>
      </c>
      <c r="F2806">
        <v>53.567</v>
      </c>
      <c r="G2806">
        <v>-76.2</v>
      </c>
      <c r="H2806">
        <v>-5</v>
      </c>
      <c r="I2806">
        <v>233</v>
      </c>
      <c r="J2806" t="str">
        <f>HYPERLINK("https://climate.onebuilding.org/WMO_Region_4_North_and_Central_America/CAN_Canada/QC_Quebec/CAN_QC_La.Grande.3.AP.718275_TMYx.2007-2021.zip")</f>
        <v>https://climate.onebuilding.org/WMO_Region_4_North_and_Central_America/CAN_Canada/QC_Quebec/CAN_QC_La.Grande.3.AP.718275_TMYx.2007-2021.zip</v>
      </c>
    </row>
    <row r="2807" spans="1:10" x14ac:dyDescent="0.25">
      <c r="A2807" t="s">
        <v>6</v>
      </c>
      <c r="B2807" t="s">
        <v>14</v>
      </c>
      <c r="C2807" t="s">
        <v>1410</v>
      </c>
      <c r="D2807">
        <v>718275</v>
      </c>
      <c r="E2807" t="s">
        <v>10</v>
      </c>
      <c r="F2807">
        <v>53.567</v>
      </c>
      <c r="G2807">
        <v>-76.2</v>
      </c>
      <c r="H2807">
        <v>-5</v>
      </c>
      <c r="I2807">
        <v>233</v>
      </c>
      <c r="J2807" t="str">
        <f>HYPERLINK("https://climate.onebuilding.org/WMO_Region_4_North_and_Central_America/CAN_Canada/QC_Quebec/CAN_QC_La.Grande.3.AP.718275_TMYx.2009-2023.zip")</f>
        <v>https://climate.onebuilding.org/WMO_Region_4_North_and_Central_America/CAN_Canada/QC_Quebec/CAN_QC_La.Grande.3.AP.718275_TMYx.2009-2023.zip</v>
      </c>
    </row>
    <row r="2808" spans="1:10" x14ac:dyDescent="0.25">
      <c r="A2808" t="s">
        <v>6</v>
      </c>
      <c r="B2808" t="s">
        <v>14</v>
      </c>
      <c r="C2808" t="s">
        <v>1410</v>
      </c>
      <c r="D2808">
        <v>718275</v>
      </c>
      <c r="E2808" t="s">
        <v>10</v>
      </c>
      <c r="F2808">
        <v>53.567</v>
      </c>
      <c r="G2808">
        <v>-76.2</v>
      </c>
      <c r="H2808">
        <v>-5</v>
      </c>
      <c r="I2808">
        <v>233</v>
      </c>
      <c r="J2808" t="str">
        <f>HYPERLINK("https://climate.onebuilding.org/WMO_Region_4_North_and_Central_America/CAN_Canada/QC_Quebec/CAN_QC_La.Grande.3.AP.718275_TMYx.zip")</f>
        <v>https://climate.onebuilding.org/WMO_Region_4_North_and_Central_America/CAN_Canada/QC_Quebec/CAN_QC_La.Grande.3.AP.718275_TMYx.zip</v>
      </c>
    </row>
    <row r="2809" spans="1:10" x14ac:dyDescent="0.25">
      <c r="A2809" t="s">
        <v>6</v>
      </c>
      <c r="B2809" t="s">
        <v>14</v>
      </c>
      <c r="C2809" t="s">
        <v>1411</v>
      </c>
      <c r="D2809">
        <v>718280</v>
      </c>
      <c r="E2809" t="s">
        <v>1412</v>
      </c>
      <c r="F2809">
        <v>54.8</v>
      </c>
      <c r="G2809">
        <v>-66.8</v>
      </c>
      <c r="H2809">
        <v>-5</v>
      </c>
      <c r="I2809">
        <v>517.20000000000005</v>
      </c>
      <c r="J2809" t="str">
        <f>HYPERLINK("https://climate.onebuilding.org/WMO_Region_4_North_and_Central_America/CAN_Canada/QC_Quebec/CAN_QC_Schefferville.AP.718280_TMYx.2004-2018.zip")</f>
        <v>https://climate.onebuilding.org/WMO_Region_4_North_and_Central_America/CAN_Canada/QC_Quebec/CAN_QC_Schefferville.AP.718280_TMYx.2004-2018.zip</v>
      </c>
    </row>
    <row r="2810" spans="1:10" x14ac:dyDescent="0.25">
      <c r="A2810" t="s">
        <v>6</v>
      </c>
      <c r="B2810" t="s">
        <v>14</v>
      </c>
      <c r="C2810" t="s">
        <v>1411</v>
      </c>
      <c r="D2810">
        <v>718280</v>
      </c>
      <c r="E2810" t="s">
        <v>10</v>
      </c>
      <c r="F2810">
        <v>54.8</v>
      </c>
      <c r="G2810">
        <v>-66.8</v>
      </c>
      <c r="H2810">
        <v>-5</v>
      </c>
      <c r="I2810">
        <v>517.20000000000005</v>
      </c>
      <c r="J2810" t="str">
        <f>HYPERLINK("https://climate.onebuilding.org/WMO_Region_4_North_and_Central_America/CAN_Canada/QC_Quebec/CAN_QC_Schefferville.AP.718280_TMYx.2007-2021.zip")</f>
        <v>https://climate.onebuilding.org/WMO_Region_4_North_and_Central_America/CAN_Canada/QC_Quebec/CAN_QC_Schefferville.AP.718280_TMYx.2007-2021.zip</v>
      </c>
    </row>
    <row r="2811" spans="1:10" x14ac:dyDescent="0.25">
      <c r="A2811" t="s">
        <v>6</v>
      </c>
      <c r="B2811" t="s">
        <v>14</v>
      </c>
      <c r="C2811" t="s">
        <v>1411</v>
      </c>
      <c r="D2811">
        <v>718280</v>
      </c>
      <c r="E2811" t="s">
        <v>10</v>
      </c>
      <c r="F2811">
        <v>54.8</v>
      </c>
      <c r="G2811">
        <v>-66.8</v>
      </c>
      <c r="H2811">
        <v>-5</v>
      </c>
      <c r="I2811">
        <v>517.20000000000005</v>
      </c>
      <c r="J2811" t="str">
        <f>HYPERLINK("https://climate.onebuilding.org/WMO_Region_4_North_and_Central_America/CAN_Canada/QC_Quebec/CAN_QC_Schefferville.AP.718280_TMYx.2009-2023.zip")</f>
        <v>https://climate.onebuilding.org/WMO_Region_4_North_and_Central_America/CAN_Canada/QC_Quebec/CAN_QC_Schefferville.AP.718280_TMYx.2009-2023.zip</v>
      </c>
    </row>
    <row r="2812" spans="1:10" x14ac:dyDescent="0.25">
      <c r="A2812" t="s">
        <v>6</v>
      </c>
      <c r="B2812" t="s">
        <v>14</v>
      </c>
      <c r="C2812" t="s">
        <v>1411</v>
      </c>
      <c r="D2812">
        <v>718280</v>
      </c>
      <c r="E2812" t="s">
        <v>10</v>
      </c>
      <c r="F2812">
        <v>54.8</v>
      </c>
      <c r="G2812">
        <v>-66.8</v>
      </c>
      <c r="H2812">
        <v>-5</v>
      </c>
      <c r="I2812">
        <v>517.20000000000005</v>
      </c>
      <c r="J2812" t="str">
        <f>HYPERLINK("https://climate.onebuilding.org/WMO_Region_4_North_and_Central_America/CAN_Canada/QC_Quebec/CAN_QC_Schefferville.AP.718280_TMYx.zip")</f>
        <v>https://climate.onebuilding.org/WMO_Region_4_North_and_Central_America/CAN_Canada/QC_Quebec/CAN_QC_Schefferville.AP.718280_TMYx.zip</v>
      </c>
    </row>
    <row r="2813" spans="1:10" x14ac:dyDescent="0.25">
      <c r="A2813" t="s">
        <v>6</v>
      </c>
      <c r="B2813" t="s">
        <v>14</v>
      </c>
      <c r="C2813" t="s">
        <v>1413</v>
      </c>
      <c r="D2813">
        <v>718290</v>
      </c>
      <c r="E2813" t="s">
        <v>1414</v>
      </c>
      <c r="F2813">
        <v>49.25</v>
      </c>
      <c r="G2813">
        <v>-68.132999999999996</v>
      </c>
      <c r="H2813">
        <v>-5</v>
      </c>
      <c r="I2813">
        <v>130</v>
      </c>
      <c r="J2813" t="str">
        <f>HYPERLINK("https://climate.onebuilding.org/WMO_Region_4_North_and_Central_America/CAN_Canada/QC_Quebec/CAN_QC_Baie-Comeau.718290_TMYx.2004-2018.zip")</f>
        <v>https://climate.onebuilding.org/WMO_Region_4_North_and_Central_America/CAN_Canada/QC_Quebec/CAN_QC_Baie-Comeau.718290_TMYx.2004-2018.zip</v>
      </c>
    </row>
    <row r="2814" spans="1:10" x14ac:dyDescent="0.25">
      <c r="A2814" t="s">
        <v>6</v>
      </c>
      <c r="B2814" t="s">
        <v>14</v>
      </c>
      <c r="C2814" t="s">
        <v>1413</v>
      </c>
      <c r="D2814">
        <v>718290</v>
      </c>
      <c r="E2814" t="s">
        <v>10</v>
      </c>
      <c r="F2814">
        <v>49.259169999999997</v>
      </c>
      <c r="G2814">
        <v>-68.145830000000004</v>
      </c>
      <c r="H2814">
        <v>-5</v>
      </c>
      <c r="I2814">
        <v>130</v>
      </c>
      <c r="J2814" t="str">
        <f>HYPERLINK("https://climate.onebuilding.org/WMO_Region_4_North_and_Central_America/CAN_Canada/QC_Quebec/CAN_QC_Baie-Comeau.718290_TMYx.2007-2021.zip")</f>
        <v>https://climate.onebuilding.org/WMO_Region_4_North_and_Central_America/CAN_Canada/QC_Quebec/CAN_QC_Baie-Comeau.718290_TMYx.2007-2021.zip</v>
      </c>
    </row>
    <row r="2815" spans="1:10" x14ac:dyDescent="0.25">
      <c r="A2815" t="s">
        <v>6</v>
      </c>
      <c r="B2815" t="s">
        <v>14</v>
      </c>
      <c r="C2815" t="s">
        <v>1413</v>
      </c>
      <c r="D2815">
        <v>718290</v>
      </c>
      <c r="E2815" t="s">
        <v>10</v>
      </c>
      <c r="F2815">
        <v>49.259169999999997</v>
      </c>
      <c r="G2815">
        <v>-68.145830000000004</v>
      </c>
      <c r="H2815">
        <v>-5</v>
      </c>
      <c r="I2815">
        <v>130</v>
      </c>
      <c r="J2815" t="str">
        <f>HYPERLINK("https://climate.onebuilding.org/WMO_Region_4_North_and_Central_America/CAN_Canada/QC_Quebec/CAN_QC_Baie-Comeau.718290_TMYx.2009-2023.zip")</f>
        <v>https://climate.onebuilding.org/WMO_Region_4_North_and_Central_America/CAN_Canada/QC_Quebec/CAN_QC_Baie-Comeau.718290_TMYx.2009-2023.zip</v>
      </c>
    </row>
    <row r="2816" spans="1:10" x14ac:dyDescent="0.25">
      <c r="A2816" t="s">
        <v>6</v>
      </c>
      <c r="B2816" t="s">
        <v>14</v>
      </c>
      <c r="C2816" t="s">
        <v>1413</v>
      </c>
      <c r="D2816">
        <v>718290</v>
      </c>
      <c r="E2816" t="s">
        <v>10</v>
      </c>
      <c r="F2816">
        <v>49.259169999999997</v>
      </c>
      <c r="G2816">
        <v>-68.145830000000004</v>
      </c>
      <c r="H2816">
        <v>-5</v>
      </c>
      <c r="I2816">
        <v>130</v>
      </c>
      <c r="J2816" t="str">
        <f>HYPERLINK("https://climate.onebuilding.org/WMO_Region_4_North_and_Central_America/CAN_Canada/QC_Quebec/CAN_QC_Baie-Comeau.718290_TMYx.zip")</f>
        <v>https://climate.onebuilding.org/WMO_Region_4_North_and_Central_America/CAN_Canada/QC_Quebec/CAN_QC_Baie-Comeau.718290_TMYx.zip</v>
      </c>
    </row>
    <row r="2817" spans="1:10" x14ac:dyDescent="0.25">
      <c r="A2817" t="s">
        <v>6</v>
      </c>
      <c r="B2817" t="s">
        <v>130</v>
      </c>
      <c r="C2817" t="s">
        <v>1415</v>
      </c>
      <c r="D2817">
        <v>718310</v>
      </c>
      <c r="E2817" t="s">
        <v>1416</v>
      </c>
      <c r="F2817">
        <v>49.413899999999998</v>
      </c>
      <c r="G2817">
        <v>-82.467500000000001</v>
      </c>
      <c r="H2817">
        <v>-5</v>
      </c>
      <c r="I2817">
        <v>226.5</v>
      </c>
      <c r="J2817" t="str">
        <f>HYPERLINK("https://climate.onebuilding.org/WMO_Region_4_North_and_Central_America/CAN_Canada/ON_Ontario/CAN_ON_Kapuskasing.AP.718310_TMYx.2004-2018.zip")</f>
        <v>https://climate.onebuilding.org/WMO_Region_4_North_and_Central_America/CAN_Canada/ON_Ontario/CAN_ON_Kapuskasing.AP.718310_TMYx.2004-2018.zip</v>
      </c>
    </row>
    <row r="2818" spans="1:10" x14ac:dyDescent="0.25">
      <c r="A2818" t="s">
        <v>6</v>
      </c>
      <c r="B2818" t="s">
        <v>130</v>
      </c>
      <c r="C2818" t="s">
        <v>1415</v>
      </c>
      <c r="D2818">
        <v>718310</v>
      </c>
      <c r="E2818" t="s">
        <v>10</v>
      </c>
      <c r="F2818">
        <v>49.413899999999998</v>
      </c>
      <c r="G2818">
        <v>-82.467500000000001</v>
      </c>
      <c r="H2818">
        <v>-5</v>
      </c>
      <c r="I2818">
        <v>226.5</v>
      </c>
      <c r="J2818" t="str">
        <f>HYPERLINK("https://climate.onebuilding.org/WMO_Region_4_North_and_Central_America/CAN_Canada/ON_Ontario/CAN_ON_Kapuskasing.AP.718310_TMYx.2007-2021.zip")</f>
        <v>https://climate.onebuilding.org/WMO_Region_4_North_and_Central_America/CAN_Canada/ON_Ontario/CAN_ON_Kapuskasing.AP.718310_TMYx.2007-2021.zip</v>
      </c>
    </row>
    <row r="2819" spans="1:10" x14ac:dyDescent="0.25">
      <c r="A2819" t="s">
        <v>6</v>
      </c>
      <c r="B2819" t="s">
        <v>130</v>
      </c>
      <c r="C2819" t="s">
        <v>1415</v>
      </c>
      <c r="D2819">
        <v>718310</v>
      </c>
      <c r="E2819" t="s">
        <v>10</v>
      </c>
      <c r="F2819">
        <v>49.413899999999998</v>
      </c>
      <c r="G2819">
        <v>-82.467500000000001</v>
      </c>
      <c r="H2819">
        <v>-5</v>
      </c>
      <c r="I2819">
        <v>226.5</v>
      </c>
      <c r="J2819" t="str">
        <f>HYPERLINK("https://climate.onebuilding.org/WMO_Region_4_North_and_Central_America/CAN_Canada/ON_Ontario/CAN_ON_Kapuskasing.AP.718310_TMYx.2009-2023.zip")</f>
        <v>https://climate.onebuilding.org/WMO_Region_4_North_and_Central_America/CAN_Canada/ON_Ontario/CAN_ON_Kapuskasing.AP.718310_TMYx.2009-2023.zip</v>
      </c>
    </row>
    <row r="2820" spans="1:10" x14ac:dyDescent="0.25">
      <c r="A2820" t="s">
        <v>6</v>
      </c>
      <c r="B2820" t="s">
        <v>130</v>
      </c>
      <c r="C2820" t="s">
        <v>1415</v>
      </c>
      <c r="D2820">
        <v>718310</v>
      </c>
      <c r="E2820" t="s">
        <v>10</v>
      </c>
      <c r="F2820">
        <v>49.413899999999998</v>
      </c>
      <c r="G2820">
        <v>-82.467500000000001</v>
      </c>
      <c r="H2820">
        <v>-5</v>
      </c>
      <c r="I2820">
        <v>226.5</v>
      </c>
      <c r="J2820" t="str">
        <f>HYPERLINK("https://climate.onebuilding.org/WMO_Region_4_North_and_Central_America/CAN_Canada/ON_Ontario/CAN_ON_Kapuskasing.AP.718310_TMYx.zip")</f>
        <v>https://climate.onebuilding.org/WMO_Region_4_North_and_Central_America/CAN_Canada/ON_Ontario/CAN_ON_Kapuskasing.AP.718310_TMYx.zip</v>
      </c>
    </row>
    <row r="2821" spans="1:10" x14ac:dyDescent="0.25">
      <c r="A2821" t="s">
        <v>6</v>
      </c>
      <c r="B2821" t="s">
        <v>130</v>
      </c>
      <c r="C2821" t="s">
        <v>1417</v>
      </c>
      <c r="D2821">
        <v>718320</v>
      </c>
      <c r="E2821" t="s">
        <v>1418</v>
      </c>
      <c r="F2821">
        <v>49.732999999999997</v>
      </c>
      <c r="G2821">
        <v>-84.15</v>
      </c>
      <c r="H2821">
        <v>-5</v>
      </c>
      <c r="I2821">
        <v>264</v>
      </c>
      <c r="J2821" t="str">
        <f>HYPERLINK("https://climate.onebuilding.org/WMO_Region_4_North_and_Central_America/CAN_Canada/ON_Ontario/CAN_ON_Nagagami.718320_TMYx.2004-2018.zip")</f>
        <v>https://climate.onebuilding.org/WMO_Region_4_North_and_Central_America/CAN_Canada/ON_Ontario/CAN_ON_Nagagami.718320_TMYx.2004-2018.zip</v>
      </c>
    </row>
    <row r="2822" spans="1:10" x14ac:dyDescent="0.25">
      <c r="A2822" t="s">
        <v>6</v>
      </c>
      <c r="B2822" t="s">
        <v>130</v>
      </c>
      <c r="C2822" t="s">
        <v>1417</v>
      </c>
      <c r="D2822">
        <v>718320</v>
      </c>
      <c r="E2822" t="s">
        <v>10</v>
      </c>
      <c r="F2822">
        <v>49.746670000000002</v>
      </c>
      <c r="G2822">
        <v>-84.163610000000006</v>
      </c>
      <c r="H2822">
        <v>-5</v>
      </c>
      <c r="I2822">
        <v>264</v>
      </c>
      <c r="J2822" t="str">
        <f>HYPERLINK("https://climate.onebuilding.org/WMO_Region_4_North_and_Central_America/CAN_Canada/ON_Ontario/CAN_ON_Nagagami.718320_TMYx.2007-2021.zip")</f>
        <v>https://climate.onebuilding.org/WMO_Region_4_North_and_Central_America/CAN_Canada/ON_Ontario/CAN_ON_Nagagami.718320_TMYx.2007-2021.zip</v>
      </c>
    </row>
    <row r="2823" spans="1:10" x14ac:dyDescent="0.25">
      <c r="A2823" t="s">
        <v>6</v>
      </c>
      <c r="B2823" t="s">
        <v>130</v>
      </c>
      <c r="C2823" t="s">
        <v>1417</v>
      </c>
      <c r="D2823">
        <v>718320</v>
      </c>
      <c r="E2823" t="s">
        <v>10</v>
      </c>
      <c r="F2823">
        <v>49.746670000000002</v>
      </c>
      <c r="G2823">
        <v>-84.163610000000006</v>
      </c>
      <c r="H2823">
        <v>-5</v>
      </c>
      <c r="I2823">
        <v>264</v>
      </c>
      <c r="J2823" t="str">
        <f>HYPERLINK("https://climate.onebuilding.org/WMO_Region_4_North_and_Central_America/CAN_Canada/ON_Ontario/CAN_ON_Nagagami.718320_TMYx.2009-2023.zip")</f>
        <v>https://climate.onebuilding.org/WMO_Region_4_North_and_Central_America/CAN_Canada/ON_Ontario/CAN_ON_Nagagami.718320_TMYx.2009-2023.zip</v>
      </c>
    </row>
    <row r="2824" spans="1:10" x14ac:dyDescent="0.25">
      <c r="A2824" t="s">
        <v>6</v>
      </c>
      <c r="B2824" t="s">
        <v>130</v>
      </c>
      <c r="C2824" t="s">
        <v>1417</v>
      </c>
      <c r="D2824">
        <v>718320</v>
      </c>
      <c r="E2824" t="s">
        <v>10</v>
      </c>
      <c r="F2824">
        <v>49.746670000000002</v>
      </c>
      <c r="G2824">
        <v>-84.163610000000006</v>
      </c>
      <c r="H2824">
        <v>-5</v>
      </c>
      <c r="I2824">
        <v>264</v>
      </c>
      <c r="J2824" t="str">
        <f>HYPERLINK("https://climate.onebuilding.org/WMO_Region_4_North_and_Central_America/CAN_Canada/ON_Ontario/CAN_ON_Nagagami.718320_TMYx.zip")</f>
        <v>https://climate.onebuilding.org/WMO_Region_4_North_and_Central_America/CAN_Canada/ON_Ontario/CAN_ON_Nagagami.718320_TMYx.zip</v>
      </c>
    </row>
    <row r="2825" spans="1:10" x14ac:dyDescent="0.25">
      <c r="A2825" t="s">
        <v>6</v>
      </c>
      <c r="B2825" t="s">
        <v>130</v>
      </c>
      <c r="C2825" t="s">
        <v>1419</v>
      </c>
      <c r="D2825">
        <v>718330</v>
      </c>
      <c r="E2825" t="s">
        <v>1420</v>
      </c>
      <c r="F2825">
        <v>43.55</v>
      </c>
      <c r="G2825">
        <v>-80.216700000000003</v>
      </c>
      <c r="H2825">
        <v>-5</v>
      </c>
      <c r="I2825">
        <v>325</v>
      </c>
      <c r="J2825" t="str">
        <f>HYPERLINK("https://climate.onebuilding.org/WMO_Region_4_North_and_Central_America/CAN_Canada/ON_Ontario/CAN_ON_Guelph.Turfgrass.Inst.718330_TMYx.2004-2018.zip")</f>
        <v>https://climate.onebuilding.org/WMO_Region_4_North_and_Central_America/CAN_Canada/ON_Ontario/CAN_ON_Guelph.Turfgrass.Inst.718330_TMYx.2004-2018.zip</v>
      </c>
    </row>
    <row r="2826" spans="1:10" x14ac:dyDescent="0.25">
      <c r="A2826" t="s">
        <v>6</v>
      </c>
      <c r="B2826" t="s">
        <v>130</v>
      </c>
      <c r="C2826" t="s">
        <v>1419</v>
      </c>
      <c r="D2826">
        <v>718330</v>
      </c>
      <c r="E2826" t="s">
        <v>10</v>
      </c>
      <c r="F2826">
        <v>43.546939999999999</v>
      </c>
      <c r="G2826">
        <v>-80.21472</v>
      </c>
      <c r="H2826">
        <v>-5</v>
      </c>
      <c r="I2826">
        <v>325</v>
      </c>
      <c r="J2826" t="str">
        <f>HYPERLINK("https://climate.onebuilding.org/WMO_Region_4_North_and_Central_America/CAN_Canada/ON_Ontario/CAN_ON_Guelph.Turfgrass.Inst.718330_TMYx.2007-2021.zip")</f>
        <v>https://climate.onebuilding.org/WMO_Region_4_North_and_Central_America/CAN_Canada/ON_Ontario/CAN_ON_Guelph.Turfgrass.Inst.718330_TMYx.2007-2021.zip</v>
      </c>
    </row>
    <row r="2827" spans="1:10" x14ac:dyDescent="0.25">
      <c r="A2827" t="s">
        <v>6</v>
      </c>
      <c r="B2827" t="s">
        <v>130</v>
      </c>
      <c r="C2827" t="s">
        <v>1419</v>
      </c>
      <c r="D2827">
        <v>718330</v>
      </c>
      <c r="E2827" t="s">
        <v>10</v>
      </c>
      <c r="F2827">
        <v>43.546939999999999</v>
      </c>
      <c r="G2827">
        <v>-80.21472</v>
      </c>
      <c r="H2827">
        <v>-5</v>
      </c>
      <c r="I2827">
        <v>325</v>
      </c>
      <c r="J2827" t="str">
        <f>HYPERLINK("https://climate.onebuilding.org/WMO_Region_4_North_and_Central_America/CAN_Canada/ON_Ontario/CAN_ON_Guelph.Turfgrass.Inst.718330_TMYx.2009-2023.zip")</f>
        <v>https://climate.onebuilding.org/WMO_Region_4_North_and_Central_America/CAN_Canada/ON_Ontario/CAN_ON_Guelph.Turfgrass.Inst.718330_TMYx.2009-2023.zip</v>
      </c>
    </row>
    <row r="2828" spans="1:10" x14ac:dyDescent="0.25">
      <c r="A2828" t="s">
        <v>6</v>
      </c>
      <c r="B2828" t="s">
        <v>130</v>
      </c>
      <c r="C2828" t="s">
        <v>1419</v>
      </c>
      <c r="D2828">
        <v>718330</v>
      </c>
      <c r="E2828" t="s">
        <v>10</v>
      </c>
      <c r="F2828">
        <v>43.546939999999999</v>
      </c>
      <c r="G2828">
        <v>-80.21472</v>
      </c>
      <c r="H2828">
        <v>-5</v>
      </c>
      <c r="I2828">
        <v>325</v>
      </c>
      <c r="J2828" t="str">
        <f>HYPERLINK("https://climate.onebuilding.org/WMO_Region_4_North_and_Central_America/CAN_Canada/ON_Ontario/CAN_ON_Guelph.Turfgrass.Inst.718330_TMYx.zip")</f>
        <v>https://climate.onebuilding.org/WMO_Region_4_North_and_Central_America/CAN_Canada/ON_Ontario/CAN_ON_Guelph.Turfgrass.Inst.718330_TMYx.zip</v>
      </c>
    </row>
    <row r="2829" spans="1:10" x14ac:dyDescent="0.25">
      <c r="A2829" t="s">
        <v>6</v>
      </c>
      <c r="B2829" t="s">
        <v>130</v>
      </c>
      <c r="C2829" t="s">
        <v>1421</v>
      </c>
      <c r="D2829">
        <v>718340</v>
      </c>
      <c r="E2829" t="s">
        <v>1422</v>
      </c>
      <c r="F2829">
        <v>49.782800000000002</v>
      </c>
      <c r="G2829">
        <v>-86.930599999999998</v>
      </c>
      <c r="H2829">
        <v>-5</v>
      </c>
      <c r="I2829">
        <v>348.4</v>
      </c>
      <c r="J2829" t="str">
        <f>HYPERLINK("https://climate.onebuilding.org/WMO_Region_4_North_and_Central_America/CAN_Canada/ON_Ontario/CAN_ON_Geraldton-Greenstone.Rgnl.AP.718340_TMYx.2004-2018.zip")</f>
        <v>https://climate.onebuilding.org/WMO_Region_4_North_and_Central_America/CAN_Canada/ON_Ontario/CAN_ON_Geraldton-Greenstone.Rgnl.AP.718340_TMYx.2004-2018.zip</v>
      </c>
    </row>
    <row r="2830" spans="1:10" x14ac:dyDescent="0.25">
      <c r="A2830" t="s">
        <v>6</v>
      </c>
      <c r="B2830" t="s">
        <v>130</v>
      </c>
      <c r="C2830" t="s">
        <v>1421</v>
      </c>
      <c r="D2830">
        <v>718340</v>
      </c>
      <c r="E2830" t="s">
        <v>10</v>
      </c>
      <c r="F2830">
        <v>49.782800000000002</v>
      </c>
      <c r="G2830">
        <v>-86.930599999999998</v>
      </c>
      <c r="H2830">
        <v>-5</v>
      </c>
      <c r="I2830">
        <v>348.4</v>
      </c>
      <c r="J2830" t="str">
        <f>HYPERLINK("https://climate.onebuilding.org/WMO_Region_4_North_and_Central_America/CAN_Canada/ON_Ontario/CAN_ON_Geraldton-Greenstone.Rgnl.AP.718340_TMYx.2007-2021.zip")</f>
        <v>https://climate.onebuilding.org/WMO_Region_4_North_and_Central_America/CAN_Canada/ON_Ontario/CAN_ON_Geraldton-Greenstone.Rgnl.AP.718340_TMYx.2007-2021.zip</v>
      </c>
    </row>
    <row r="2831" spans="1:10" x14ac:dyDescent="0.25">
      <c r="A2831" t="s">
        <v>6</v>
      </c>
      <c r="B2831" t="s">
        <v>130</v>
      </c>
      <c r="C2831" t="s">
        <v>1421</v>
      </c>
      <c r="D2831">
        <v>718340</v>
      </c>
      <c r="E2831" t="s">
        <v>10</v>
      </c>
      <c r="F2831">
        <v>49.782800000000002</v>
      </c>
      <c r="G2831">
        <v>-86.930599999999998</v>
      </c>
      <c r="H2831">
        <v>-5</v>
      </c>
      <c r="I2831">
        <v>348.4</v>
      </c>
      <c r="J2831" t="str">
        <f>HYPERLINK("https://climate.onebuilding.org/WMO_Region_4_North_and_Central_America/CAN_Canada/ON_Ontario/CAN_ON_Geraldton-Greenstone.Rgnl.AP.718340_TMYx.2009-2023.zip")</f>
        <v>https://climate.onebuilding.org/WMO_Region_4_North_and_Central_America/CAN_Canada/ON_Ontario/CAN_ON_Geraldton-Greenstone.Rgnl.AP.718340_TMYx.2009-2023.zip</v>
      </c>
    </row>
    <row r="2832" spans="1:10" x14ac:dyDescent="0.25">
      <c r="A2832" t="s">
        <v>6</v>
      </c>
      <c r="B2832" t="s">
        <v>130</v>
      </c>
      <c r="C2832" t="s">
        <v>1421</v>
      </c>
      <c r="D2832">
        <v>718340</v>
      </c>
      <c r="E2832" t="s">
        <v>10</v>
      </c>
      <c r="F2832">
        <v>49.782800000000002</v>
      </c>
      <c r="G2832">
        <v>-86.930599999999998</v>
      </c>
      <c r="H2832">
        <v>-5</v>
      </c>
      <c r="I2832">
        <v>348.4</v>
      </c>
      <c r="J2832" t="str">
        <f>HYPERLINK("https://climate.onebuilding.org/WMO_Region_4_North_and_Central_America/CAN_Canada/ON_Ontario/CAN_ON_Geraldton-Greenstone.Rgnl.AP.718340_TMYx.zip")</f>
        <v>https://climate.onebuilding.org/WMO_Region_4_North_and_Central_America/CAN_Canada/ON_Ontario/CAN_ON_Geraldton-Greenstone.Rgnl.AP.718340_TMYx.zip</v>
      </c>
    </row>
    <row r="2833" spans="1:10" x14ac:dyDescent="0.25">
      <c r="A2833" t="s">
        <v>6</v>
      </c>
      <c r="B2833" t="s">
        <v>130</v>
      </c>
      <c r="C2833" t="s">
        <v>1423</v>
      </c>
      <c r="D2833">
        <v>718360</v>
      </c>
      <c r="E2833" t="s">
        <v>1424</v>
      </c>
      <c r="F2833">
        <v>51.291400000000003</v>
      </c>
      <c r="G2833">
        <v>-80.607500000000002</v>
      </c>
      <c r="H2833">
        <v>-5</v>
      </c>
      <c r="I2833">
        <v>9.1</v>
      </c>
      <c r="J2833" t="str">
        <f>HYPERLINK("https://climate.onebuilding.org/WMO_Region_4_North_and_Central_America/CAN_Canada/ON_Ontario/CAN_ON_Moosonee.AP.AWRS.718360_TMYx.2004-2018.zip")</f>
        <v>https://climate.onebuilding.org/WMO_Region_4_North_and_Central_America/CAN_Canada/ON_Ontario/CAN_ON_Moosonee.AP.AWRS.718360_TMYx.2004-2018.zip</v>
      </c>
    </row>
    <row r="2834" spans="1:10" x14ac:dyDescent="0.25">
      <c r="A2834" t="s">
        <v>6</v>
      </c>
      <c r="B2834" t="s">
        <v>130</v>
      </c>
      <c r="C2834" t="s">
        <v>1423</v>
      </c>
      <c r="D2834">
        <v>718360</v>
      </c>
      <c r="E2834" t="s">
        <v>10</v>
      </c>
      <c r="F2834">
        <v>51.291400000000003</v>
      </c>
      <c r="G2834">
        <v>-80.607500000000002</v>
      </c>
      <c r="H2834">
        <v>-5</v>
      </c>
      <c r="I2834">
        <v>9.1</v>
      </c>
      <c r="J2834" t="str">
        <f>HYPERLINK("https://climate.onebuilding.org/WMO_Region_4_North_and_Central_America/CAN_Canada/ON_Ontario/CAN_ON_Moosonee.AP.AWRS.718360_TMYx.2007-2021.zip")</f>
        <v>https://climate.onebuilding.org/WMO_Region_4_North_and_Central_America/CAN_Canada/ON_Ontario/CAN_ON_Moosonee.AP.AWRS.718360_TMYx.2007-2021.zip</v>
      </c>
    </row>
    <row r="2835" spans="1:10" x14ac:dyDescent="0.25">
      <c r="A2835" t="s">
        <v>6</v>
      </c>
      <c r="B2835" t="s">
        <v>130</v>
      </c>
      <c r="C2835" t="s">
        <v>1423</v>
      </c>
      <c r="D2835">
        <v>718360</v>
      </c>
      <c r="E2835" t="s">
        <v>10</v>
      </c>
      <c r="F2835">
        <v>51.291400000000003</v>
      </c>
      <c r="G2835">
        <v>-80.607500000000002</v>
      </c>
      <c r="H2835">
        <v>-5</v>
      </c>
      <c r="I2835">
        <v>9.1</v>
      </c>
      <c r="J2835" t="str">
        <f>HYPERLINK("https://climate.onebuilding.org/WMO_Region_4_North_and_Central_America/CAN_Canada/ON_Ontario/CAN_ON_Moosonee.AP.AWRS.718360_TMYx.2009-2023.zip")</f>
        <v>https://climate.onebuilding.org/WMO_Region_4_North_and_Central_America/CAN_Canada/ON_Ontario/CAN_ON_Moosonee.AP.AWRS.718360_TMYx.2009-2023.zip</v>
      </c>
    </row>
    <row r="2836" spans="1:10" x14ac:dyDescent="0.25">
      <c r="A2836" t="s">
        <v>6</v>
      </c>
      <c r="B2836" t="s">
        <v>130</v>
      </c>
      <c r="C2836" t="s">
        <v>1423</v>
      </c>
      <c r="D2836">
        <v>718360</v>
      </c>
      <c r="E2836" t="s">
        <v>10</v>
      </c>
      <c r="F2836">
        <v>51.291400000000003</v>
      </c>
      <c r="G2836">
        <v>-80.607500000000002</v>
      </c>
      <c r="H2836">
        <v>-5</v>
      </c>
      <c r="I2836">
        <v>9.1</v>
      </c>
      <c r="J2836" t="str">
        <f>HYPERLINK("https://climate.onebuilding.org/WMO_Region_4_North_and_Central_America/CAN_Canada/ON_Ontario/CAN_ON_Moosonee.AP.AWRS.718360_TMYx.zip")</f>
        <v>https://climate.onebuilding.org/WMO_Region_4_North_and_Central_America/CAN_Canada/ON_Ontario/CAN_ON_Moosonee.AP.AWRS.718360_TMYx.zip</v>
      </c>
    </row>
    <row r="2837" spans="1:10" x14ac:dyDescent="0.25">
      <c r="A2837" t="s">
        <v>6</v>
      </c>
      <c r="B2837" t="s">
        <v>17</v>
      </c>
      <c r="C2837" t="s">
        <v>1425</v>
      </c>
      <c r="D2837">
        <v>718370</v>
      </c>
      <c r="E2837" t="s">
        <v>1426</v>
      </c>
      <c r="F2837">
        <v>49.361400000000003</v>
      </c>
      <c r="G2837">
        <v>-113.11</v>
      </c>
      <c r="H2837">
        <v>-7</v>
      </c>
      <c r="I2837">
        <v>1128</v>
      </c>
      <c r="J2837" t="str">
        <f>HYPERLINK("https://climate.onebuilding.org/WMO_Region_4_North_and_Central_America/CAN_Canada/AB_Alberta/CAN_AB_St.Mary.Reservoir.718370_TMYx.2004-2018.zip")</f>
        <v>https://climate.onebuilding.org/WMO_Region_4_North_and_Central_America/CAN_Canada/AB_Alberta/CAN_AB_St.Mary.Reservoir.718370_TMYx.2004-2018.zip</v>
      </c>
    </row>
    <row r="2838" spans="1:10" x14ac:dyDescent="0.25">
      <c r="A2838" t="s">
        <v>6</v>
      </c>
      <c r="B2838" t="s">
        <v>17</v>
      </c>
      <c r="C2838" t="s">
        <v>1425</v>
      </c>
      <c r="D2838">
        <v>718370</v>
      </c>
      <c r="E2838" t="s">
        <v>10</v>
      </c>
      <c r="F2838">
        <v>49.361400000000003</v>
      </c>
      <c r="G2838">
        <v>-113.11</v>
      </c>
      <c r="H2838">
        <v>-7</v>
      </c>
      <c r="I2838">
        <v>1128</v>
      </c>
      <c r="J2838" t="str">
        <f>HYPERLINK("https://climate.onebuilding.org/WMO_Region_4_North_and_Central_America/CAN_Canada/AB_Alberta/CAN_AB_St.Mary.Reservoir.718370_TMYx.2007-2021.zip")</f>
        <v>https://climate.onebuilding.org/WMO_Region_4_North_and_Central_America/CAN_Canada/AB_Alberta/CAN_AB_St.Mary.Reservoir.718370_TMYx.2007-2021.zip</v>
      </c>
    </row>
    <row r="2839" spans="1:10" x14ac:dyDescent="0.25">
      <c r="A2839" t="s">
        <v>6</v>
      </c>
      <c r="B2839" t="s">
        <v>17</v>
      </c>
      <c r="C2839" t="s">
        <v>1425</v>
      </c>
      <c r="D2839">
        <v>718370</v>
      </c>
      <c r="E2839" t="s">
        <v>10</v>
      </c>
      <c r="F2839">
        <v>49.361400000000003</v>
      </c>
      <c r="G2839">
        <v>-113.11</v>
      </c>
      <c r="H2839">
        <v>-7</v>
      </c>
      <c r="I2839">
        <v>1128</v>
      </c>
      <c r="J2839" t="str">
        <f>HYPERLINK("https://climate.onebuilding.org/WMO_Region_4_North_and_Central_America/CAN_Canada/AB_Alberta/CAN_AB_St.Mary.Reservoir.718370_TMYx.2009-2023.zip")</f>
        <v>https://climate.onebuilding.org/WMO_Region_4_North_and_Central_America/CAN_Canada/AB_Alberta/CAN_AB_St.Mary.Reservoir.718370_TMYx.2009-2023.zip</v>
      </c>
    </row>
    <row r="2840" spans="1:10" x14ac:dyDescent="0.25">
      <c r="A2840" t="s">
        <v>6</v>
      </c>
      <c r="B2840" t="s">
        <v>17</v>
      </c>
      <c r="C2840" t="s">
        <v>1425</v>
      </c>
      <c r="D2840">
        <v>718370</v>
      </c>
      <c r="E2840" t="s">
        <v>10</v>
      </c>
      <c r="F2840">
        <v>49.361400000000003</v>
      </c>
      <c r="G2840">
        <v>-113.11</v>
      </c>
      <c r="H2840">
        <v>-7</v>
      </c>
      <c r="I2840">
        <v>1128</v>
      </c>
      <c r="J2840" t="str">
        <f>HYPERLINK("https://climate.onebuilding.org/WMO_Region_4_North_and_Central_America/CAN_Canada/AB_Alberta/CAN_AB_St.Mary.Reservoir.718370_TMYx.zip")</f>
        <v>https://climate.onebuilding.org/WMO_Region_4_North_and_Central_America/CAN_Canada/AB_Alberta/CAN_AB_St.Mary.Reservoir.718370_TMYx.zip</v>
      </c>
    </row>
    <row r="2841" spans="1:10" x14ac:dyDescent="0.25">
      <c r="A2841" t="s">
        <v>6</v>
      </c>
      <c r="B2841" t="s">
        <v>17</v>
      </c>
      <c r="C2841" t="s">
        <v>1427</v>
      </c>
      <c r="D2841">
        <v>718390</v>
      </c>
      <c r="E2841" t="s">
        <v>1428</v>
      </c>
      <c r="F2841">
        <v>49.295299999999997</v>
      </c>
      <c r="G2841">
        <v>-113.3586</v>
      </c>
      <c r="H2841">
        <v>-7</v>
      </c>
      <c r="I2841">
        <v>1115</v>
      </c>
      <c r="J2841" t="str">
        <f>HYPERLINK("https://climate.onebuilding.org/WMO_Region_4_North_and_Central_America/CAN_Canada/AB_Alberta/CAN_AB_Bullhorn.Coulee.Reservoir.718390_TMYx.2004-2018.zip")</f>
        <v>https://climate.onebuilding.org/WMO_Region_4_North_and_Central_America/CAN_Canada/AB_Alberta/CAN_AB_Bullhorn.Coulee.Reservoir.718390_TMYx.2004-2018.zip</v>
      </c>
    </row>
    <row r="2842" spans="1:10" x14ac:dyDescent="0.25">
      <c r="A2842" t="s">
        <v>6</v>
      </c>
      <c r="B2842" t="s">
        <v>17</v>
      </c>
      <c r="C2842" t="s">
        <v>1427</v>
      </c>
      <c r="D2842">
        <v>718390</v>
      </c>
      <c r="E2842" t="s">
        <v>10</v>
      </c>
      <c r="F2842">
        <v>49.295299999999997</v>
      </c>
      <c r="G2842">
        <v>-113.3586</v>
      </c>
      <c r="H2842">
        <v>-7</v>
      </c>
      <c r="I2842">
        <v>1115</v>
      </c>
      <c r="J2842" t="str">
        <f>HYPERLINK("https://climate.onebuilding.org/WMO_Region_4_North_and_Central_America/CAN_Canada/AB_Alberta/CAN_AB_Bullhorn.Coulee.Reservoir.718390_TMYx.2007-2021.zip")</f>
        <v>https://climate.onebuilding.org/WMO_Region_4_North_and_Central_America/CAN_Canada/AB_Alberta/CAN_AB_Bullhorn.Coulee.Reservoir.718390_TMYx.2007-2021.zip</v>
      </c>
    </row>
    <row r="2843" spans="1:10" x14ac:dyDescent="0.25">
      <c r="A2843" t="s">
        <v>6</v>
      </c>
      <c r="B2843" t="s">
        <v>17</v>
      </c>
      <c r="C2843" t="s">
        <v>1427</v>
      </c>
      <c r="D2843">
        <v>718390</v>
      </c>
      <c r="E2843" t="s">
        <v>10</v>
      </c>
      <c r="F2843">
        <v>49.295299999999997</v>
      </c>
      <c r="G2843">
        <v>-113.3586</v>
      </c>
      <c r="H2843">
        <v>-7</v>
      </c>
      <c r="I2843">
        <v>1115</v>
      </c>
      <c r="J2843" t="str">
        <f>HYPERLINK("https://climate.onebuilding.org/WMO_Region_4_North_and_Central_America/CAN_Canada/AB_Alberta/CAN_AB_Bullhorn.Coulee.Reservoir.718390_TMYx.2009-2023.zip")</f>
        <v>https://climate.onebuilding.org/WMO_Region_4_North_and_Central_America/CAN_Canada/AB_Alberta/CAN_AB_Bullhorn.Coulee.Reservoir.718390_TMYx.2009-2023.zip</v>
      </c>
    </row>
    <row r="2844" spans="1:10" x14ac:dyDescent="0.25">
      <c r="A2844" t="s">
        <v>6</v>
      </c>
      <c r="B2844" t="s">
        <v>17</v>
      </c>
      <c r="C2844" t="s">
        <v>1427</v>
      </c>
      <c r="D2844">
        <v>718390</v>
      </c>
      <c r="E2844" t="s">
        <v>10</v>
      </c>
      <c r="F2844">
        <v>49.295299999999997</v>
      </c>
      <c r="G2844">
        <v>-113.3586</v>
      </c>
      <c r="H2844">
        <v>-7</v>
      </c>
      <c r="I2844">
        <v>1115</v>
      </c>
      <c r="J2844" t="str">
        <f>HYPERLINK("https://climate.onebuilding.org/WMO_Region_4_North_and_Central_America/CAN_Canada/AB_Alberta/CAN_AB_Bullhorn.Coulee.Reservoir.718390_TMYx.zip")</f>
        <v>https://climate.onebuilding.org/WMO_Region_4_North_and_Central_America/CAN_Canada/AB_Alberta/CAN_AB_Bullhorn.Coulee.Reservoir.718390_TMYx.zip</v>
      </c>
    </row>
    <row r="2845" spans="1:10" x14ac:dyDescent="0.25">
      <c r="A2845" t="s">
        <v>6</v>
      </c>
      <c r="B2845" t="s">
        <v>94</v>
      </c>
      <c r="C2845" t="s">
        <v>1429</v>
      </c>
      <c r="D2845">
        <v>718400</v>
      </c>
      <c r="E2845" t="s">
        <v>1430</v>
      </c>
      <c r="F2845">
        <v>49.399700000000003</v>
      </c>
      <c r="G2845">
        <v>-98.319199999999995</v>
      </c>
      <c r="H2845">
        <v>-6</v>
      </c>
      <c r="I2845">
        <v>341.4</v>
      </c>
      <c r="J2845" t="str">
        <f>HYPERLINK("https://climate.onebuilding.org/WMO_Region_4_North_and_Central_America/CAN_Canada/MB_Manitoba/CAN_MB_Deerwood.RCS.718400_TMYx.2004-2018.zip")</f>
        <v>https://climate.onebuilding.org/WMO_Region_4_North_and_Central_America/CAN_Canada/MB_Manitoba/CAN_MB_Deerwood.RCS.718400_TMYx.2004-2018.zip</v>
      </c>
    </row>
    <row r="2846" spans="1:10" x14ac:dyDescent="0.25">
      <c r="A2846" t="s">
        <v>6</v>
      </c>
      <c r="B2846" t="s">
        <v>94</v>
      </c>
      <c r="C2846" t="s">
        <v>1429</v>
      </c>
      <c r="D2846">
        <v>718400</v>
      </c>
      <c r="E2846" t="s">
        <v>10</v>
      </c>
      <c r="F2846">
        <v>49.399700000000003</v>
      </c>
      <c r="G2846">
        <v>-98.319199999999995</v>
      </c>
      <c r="H2846">
        <v>-6</v>
      </c>
      <c r="I2846">
        <v>341.4</v>
      </c>
      <c r="J2846" t="str">
        <f>HYPERLINK("https://climate.onebuilding.org/WMO_Region_4_North_and_Central_America/CAN_Canada/MB_Manitoba/CAN_MB_Deerwood.RCS.718400_TMYx.2007-2021.zip")</f>
        <v>https://climate.onebuilding.org/WMO_Region_4_North_and_Central_America/CAN_Canada/MB_Manitoba/CAN_MB_Deerwood.RCS.718400_TMYx.2007-2021.zip</v>
      </c>
    </row>
    <row r="2847" spans="1:10" x14ac:dyDescent="0.25">
      <c r="A2847" t="s">
        <v>6</v>
      </c>
      <c r="B2847" t="s">
        <v>94</v>
      </c>
      <c r="C2847" t="s">
        <v>1429</v>
      </c>
      <c r="D2847">
        <v>718400</v>
      </c>
      <c r="E2847" t="s">
        <v>10</v>
      </c>
      <c r="F2847">
        <v>49.399700000000003</v>
      </c>
      <c r="G2847">
        <v>-98.319199999999995</v>
      </c>
      <c r="H2847">
        <v>-6</v>
      </c>
      <c r="I2847">
        <v>341.4</v>
      </c>
      <c r="J2847" t="str">
        <f>HYPERLINK("https://climate.onebuilding.org/WMO_Region_4_North_and_Central_America/CAN_Canada/MB_Manitoba/CAN_MB_Deerwood.RCS.718400_TMYx.2009-2023.zip")</f>
        <v>https://climate.onebuilding.org/WMO_Region_4_North_and_Central_America/CAN_Canada/MB_Manitoba/CAN_MB_Deerwood.RCS.718400_TMYx.2009-2023.zip</v>
      </c>
    </row>
    <row r="2848" spans="1:10" x14ac:dyDescent="0.25">
      <c r="A2848" t="s">
        <v>6</v>
      </c>
      <c r="B2848" t="s">
        <v>94</v>
      </c>
      <c r="C2848" t="s">
        <v>1429</v>
      </c>
      <c r="D2848">
        <v>718400</v>
      </c>
      <c r="E2848" t="s">
        <v>10</v>
      </c>
      <c r="F2848">
        <v>49.399700000000003</v>
      </c>
      <c r="G2848">
        <v>-98.319199999999995</v>
      </c>
      <c r="H2848">
        <v>-6</v>
      </c>
      <c r="I2848">
        <v>341.4</v>
      </c>
      <c r="J2848" t="str">
        <f>HYPERLINK("https://climate.onebuilding.org/WMO_Region_4_North_and_Central_America/CAN_Canada/MB_Manitoba/CAN_MB_Deerwood.RCS.718400_TMYx.zip")</f>
        <v>https://climate.onebuilding.org/WMO_Region_4_North_and_Central_America/CAN_Canada/MB_Manitoba/CAN_MB_Deerwood.RCS.718400_TMYx.zip</v>
      </c>
    </row>
    <row r="2849" spans="1:10" x14ac:dyDescent="0.25">
      <c r="A2849" t="s">
        <v>6</v>
      </c>
      <c r="B2849" t="s">
        <v>130</v>
      </c>
      <c r="C2849" t="s">
        <v>1431</v>
      </c>
      <c r="D2849">
        <v>718410</v>
      </c>
      <c r="E2849" t="s">
        <v>1432</v>
      </c>
      <c r="F2849">
        <v>50.293599999999998</v>
      </c>
      <c r="G2849">
        <v>-88.905299999999997</v>
      </c>
      <c r="H2849">
        <v>-5</v>
      </c>
      <c r="I2849">
        <v>324</v>
      </c>
      <c r="J2849" t="str">
        <f>HYPERLINK("https://climate.onebuilding.org/WMO_Region_4_North_and_Central_America/CAN_Canada/ON_Ontario/CAN_ON_Armstrong.AP.718410_TMYx.2004-2018.zip")</f>
        <v>https://climate.onebuilding.org/WMO_Region_4_North_and_Central_America/CAN_Canada/ON_Ontario/CAN_ON_Armstrong.AP.718410_TMYx.2004-2018.zip</v>
      </c>
    </row>
    <row r="2850" spans="1:10" x14ac:dyDescent="0.25">
      <c r="A2850" t="s">
        <v>6</v>
      </c>
      <c r="B2850" t="s">
        <v>130</v>
      </c>
      <c r="C2850" t="s">
        <v>1431</v>
      </c>
      <c r="D2850">
        <v>718410</v>
      </c>
      <c r="E2850" t="s">
        <v>10</v>
      </c>
      <c r="F2850">
        <v>50.293599999999998</v>
      </c>
      <c r="G2850">
        <v>-88.905299999999997</v>
      </c>
      <c r="H2850">
        <v>-5</v>
      </c>
      <c r="I2850">
        <v>324</v>
      </c>
      <c r="J2850" t="str">
        <f>HYPERLINK("https://climate.onebuilding.org/WMO_Region_4_North_and_Central_America/CAN_Canada/ON_Ontario/CAN_ON_Armstrong.AP.718410_TMYx.2007-2021.zip")</f>
        <v>https://climate.onebuilding.org/WMO_Region_4_North_and_Central_America/CAN_Canada/ON_Ontario/CAN_ON_Armstrong.AP.718410_TMYx.2007-2021.zip</v>
      </c>
    </row>
    <row r="2851" spans="1:10" x14ac:dyDescent="0.25">
      <c r="A2851" t="s">
        <v>6</v>
      </c>
      <c r="B2851" t="s">
        <v>130</v>
      </c>
      <c r="C2851" t="s">
        <v>1431</v>
      </c>
      <c r="D2851">
        <v>718410</v>
      </c>
      <c r="E2851" t="s">
        <v>10</v>
      </c>
      <c r="F2851">
        <v>50.293599999999998</v>
      </c>
      <c r="G2851">
        <v>-88.905299999999997</v>
      </c>
      <c r="H2851">
        <v>-5</v>
      </c>
      <c r="I2851">
        <v>324</v>
      </c>
      <c r="J2851" t="str">
        <f>HYPERLINK("https://climate.onebuilding.org/WMO_Region_4_North_and_Central_America/CAN_Canada/ON_Ontario/CAN_ON_Armstrong.AP.718410_TMYx.2009-2023.zip")</f>
        <v>https://climate.onebuilding.org/WMO_Region_4_North_and_Central_America/CAN_Canada/ON_Ontario/CAN_ON_Armstrong.AP.718410_TMYx.2009-2023.zip</v>
      </c>
    </row>
    <row r="2852" spans="1:10" x14ac:dyDescent="0.25">
      <c r="A2852" t="s">
        <v>6</v>
      </c>
      <c r="B2852" t="s">
        <v>130</v>
      </c>
      <c r="C2852" t="s">
        <v>1431</v>
      </c>
      <c r="D2852">
        <v>718410</v>
      </c>
      <c r="E2852" t="s">
        <v>10</v>
      </c>
      <c r="F2852">
        <v>50.293599999999998</v>
      </c>
      <c r="G2852">
        <v>-88.905299999999997</v>
      </c>
      <c r="H2852">
        <v>-5</v>
      </c>
      <c r="I2852">
        <v>324</v>
      </c>
      <c r="J2852" t="str">
        <f>HYPERLINK("https://climate.onebuilding.org/WMO_Region_4_North_and_Central_America/CAN_Canada/ON_Ontario/CAN_ON_Armstrong.AP.718410_TMYx.zip")</f>
        <v>https://climate.onebuilding.org/WMO_Region_4_North_and_Central_America/CAN_Canada/ON_Ontario/CAN_ON_Armstrong.AP.718410_TMYx.zip</v>
      </c>
    </row>
    <row r="2853" spans="1:10" x14ac:dyDescent="0.25">
      <c r="A2853" t="s">
        <v>6</v>
      </c>
      <c r="B2853" t="s">
        <v>130</v>
      </c>
      <c r="C2853" t="s">
        <v>1433</v>
      </c>
      <c r="D2853">
        <v>718420</v>
      </c>
      <c r="E2853" t="s">
        <v>1434</v>
      </c>
      <c r="F2853">
        <v>50.116700000000002</v>
      </c>
      <c r="G2853">
        <v>-91.9</v>
      </c>
      <c r="H2853">
        <v>-6</v>
      </c>
      <c r="I2853">
        <v>383.1</v>
      </c>
      <c r="J2853" t="str">
        <f>HYPERLINK("https://climate.onebuilding.org/WMO_Region_4_North_and_Central_America/CAN_Canada/ON_Ontario/CAN_ON_Sioux.Lookout.Muni.AP.718420_TMYx.2004-2018.zip")</f>
        <v>https://climate.onebuilding.org/WMO_Region_4_North_and_Central_America/CAN_Canada/ON_Ontario/CAN_ON_Sioux.Lookout.Muni.AP.718420_TMYx.2004-2018.zip</v>
      </c>
    </row>
    <row r="2854" spans="1:10" x14ac:dyDescent="0.25">
      <c r="A2854" t="s">
        <v>6</v>
      </c>
      <c r="B2854" t="s">
        <v>130</v>
      </c>
      <c r="C2854" t="s">
        <v>1433</v>
      </c>
      <c r="D2854">
        <v>718420</v>
      </c>
      <c r="E2854" t="s">
        <v>10</v>
      </c>
      <c r="F2854">
        <v>50.121000000000002</v>
      </c>
      <c r="G2854">
        <v>-91.903000000000006</v>
      </c>
      <c r="H2854">
        <v>-6</v>
      </c>
      <c r="I2854">
        <v>383.1</v>
      </c>
      <c r="J2854" t="str">
        <f>HYPERLINK("https://climate.onebuilding.org/WMO_Region_4_North_and_Central_America/CAN_Canada/ON_Ontario/CAN_ON_Sioux.Lookout.Muni.AP.718420_TMYx.2007-2021.zip")</f>
        <v>https://climate.onebuilding.org/WMO_Region_4_North_and_Central_America/CAN_Canada/ON_Ontario/CAN_ON_Sioux.Lookout.Muni.AP.718420_TMYx.2007-2021.zip</v>
      </c>
    </row>
    <row r="2855" spans="1:10" x14ac:dyDescent="0.25">
      <c r="A2855" t="s">
        <v>6</v>
      </c>
      <c r="B2855" t="s">
        <v>130</v>
      </c>
      <c r="C2855" t="s">
        <v>1433</v>
      </c>
      <c r="D2855">
        <v>718420</v>
      </c>
      <c r="E2855" t="s">
        <v>10</v>
      </c>
      <c r="F2855">
        <v>50.121000000000002</v>
      </c>
      <c r="G2855">
        <v>-91.903000000000006</v>
      </c>
      <c r="H2855">
        <v>-6</v>
      </c>
      <c r="I2855">
        <v>383.1</v>
      </c>
      <c r="J2855" t="str">
        <f>HYPERLINK("https://climate.onebuilding.org/WMO_Region_4_North_and_Central_America/CAN_Canada/ON_Ontario/CAN_ON_Sioux.Lookout.Muni.AP.718420_TMYx.2009-2023.zip")</f>
        <v>https://climate.onebuilding.org/WMO_Region_4_North_and_Central_America/CAN_Canada/ON_Ontario/CAN_ON_Sioux.Lookout.Muni.AP.718420_TMYx.2009-2023.zip</v>
      </c>
    </row>
    <row r="2856" spans="1:10" x14ac:dyDescent="0.25">
      <c r="A2856" t="s">
        <v>6</v>
      </c>
      <c r="B2856" t="s">
        <v>130</v>
      </c>
      <c r="C2856" t="s">
        <v>1433</v>
      </c>
      <c r="D2856">
        <v>718420</v>
      </c>
      <c r="E2856" t="s">
        <v>10</v>
      </c>
      <c r="F2856">
        <v>50.121000000000002</v>
      </c>
      <c r="G2856">
        <v>-91.903000000000006</v>
      </c>
      <c r="H2856">
        <v>-6</v>
      </c>
      <c r="I2856">
        <v>383.1</v>
      </c>
      <c r="J2856" t="str">
        <f>HYPERLINK("https://climate.onebuilding.org/WMO_Region_4_North_and_Central_America/CAN_Canada/ON_Ontario/CAN_ON_Sioux.Lookout.Muni.AP.718420_TMYx.zip")</f>
        <v>https://climate.onebuilding.org/WMO_Region_4_North_and_Central_America/CAN_Canada/ON_Ontario/CAN_ON_Sioux.Lookout.Muni.AP.718420_TMYx.zip</v>
      </c>
    </row>
    <row r="2857" spans="1:10" x14ac:dyDescent="0.25">
      <c r="A2857" t="s">
        <v>6</v>
      </c>
      <c r="B2857" t="s">
        <v>42</v>
      </c>
      <c r="C2857" t="s">
        <v>1435</v>
      </c>
      <c r="D2857">
        <v>718429</v>
      </c>
      <c r="E2857" t="s">
        <v>1436</v>
      </c>
      <c r="F2857">
        <v>63.35</v>
      </c>
      <c r="G2857">
        <v>-90.730699999999999</v>
      </c>
      <c r="H2857">
        <v>-6</v>
      </c>
      <c r="I2857">
        <v>11</v>
      </c>
      <c r="J2857" t="str">
        <f>HYPERLINK("https://climate.onebuilding.org/WMO_Region_4_North_and_Central_America/CAN_Canada/NU_Nunavut/CAN_NU_Chesterfield.Inlet.AP.718429_TMYx.2004-2018.zip")</f>
        <v>https://climate.onebuilding.org/WMO_Region_4_North_and_Central_America/CAN_Canada/NU_Nunavut/CAN_NU_Chesterfield.Inlet.AP.718429_TMYx.2004-2018.zip</v>
      </c>
    </row>
    <row r="2858" spans="1:10" x14ac:dyDescent="0.25">
      <c r="A2858" t="s">
        <v>6</v>
      </c>
      <c r="B2858" t="s">
        <v>42</v>
      </c>
      <c r="C2858" t="s">
        <v>1435</v>
      </c>
      <c r="D2858">
        <v>718429</v>
      </c>
      <c r="E2858" t="s">
        <v>10</v>
      </c>
      <c r="F2858">
        <v>63.344999999999999</v>
      </c>
      <c r="G2858">
        <v>-90.7316</v>
      </c>
      <c r="H2858">
        <v>-6</v>
      </c>
      <c r="I2858">
        <v>11</v>
      </c>
      <c r="J2858" t="str">
        <f>HYPERLINK("https://climate.onebuilding.org/WMO_Region_4_North_and_Central_America/CAN_Canada/NU_Nunavut/CAN_NU_Chesterfield.Inlet.AP.718429_TMYx.2007-2021.zip")</f>
        <v>https://climate.onebuilding.org/WMO_Region_4_North_and_Central_America/CAN_Canada/NU_Nunavut/CAN_NU_Chesterfield.Inlet.AP.718429_TMYx.2007-2021.zip</v>
      </c>
    </row>
    <row r="2859" spans="1:10" x14ac:dyDescent="0.25">
      <c r="A2859" t="s">
        <v>6</v>
      </c>
      <c r="B2859" t="s">
        <v>42</v>
      </c>
      <c r="C2859" t="s">
        <v>1435</v>
      </c>
      <c r="D2859">
        <v>718429</v>
      </c>
      <c r="E2859" t="s">
        <v>10</v>
      </c>
      <c r="F2859">
        <v>63.344999999999999</v>
      </c>
      <c r="G2859">
        <v>-90.7316</v>
      </c>
      <c r="H2859">
        <v>-6</v>
      </c>
      <c r="I2859">
        <v>11</v>
      </c>
      <c r="J2859" t="str">
        <f>HYPERLINK("https://climate.onebuilding.org/WMO_Region_4_North_and_Central_America/CAN_Canada/NU_Nunavut/CAN_NU_Chesterfield.Inlet.AP.718429_TMYx.2009-2023.zip")</f>
        <v>https://climate.onebuilding.org/WMO_Region_4_North_and_Central_America/CAN_Canada/NU_Nunavut/CAN_NU_Chesterfield.Inlet.AP.718429_TMYx.2009-2023.zip</v>
      </c>
    </row>
    <row r="2860" spans="1:10" x14ac:dyDescent="0.25">
      <c r="A2860" t="s">
        <v>6</v>
      </c>
      <c r="B2860" t="s">
        <v>42</v>
      </c>
      <c r="C2860" t="s">
        <v>1435</v>
      </c>
      <c r="D2860">
        <v>718429</v>
      </c>
      <c r="E2860" t="s">
        <v>10</v>
      </c>
      <c r="F2860">
        <v>63.344999999999999</v>
      </c>
      <c r="G2860">
        <v>-90.7316</v>
      </c>
      <c r="H2860">
        <v>-6</v>
      </c>
      <c r="I2860">
        <v>11</v>
      </c>
      <c r="J2860" t="str">
        <f>HYPERLINK("https://climate.onebuilding.org/WMO_Region_4_North_and_Central_America/CAN_Canada/NU_Nunavut/CAN_NU_Chesterfield.Inlet.AP.718429_TMYx.zip")</f>
        <v>https://climate.onebuilding.org/WMO_Region_4_North_and_Central_America/CAN_Canada/NU_Nunavut/CAN_NU_Chesterfield.Inlet.AP.718429_TMYx.zip</v>
      </c>
    </row>
    <row r="2861" spans="1:10" x14ac:dyDescent="0.25">
      <c r="A2861" t="s">
        <v>6</v>
      </c>
      <c r="B2861" t="s">
        <v>14</v>
      </c>
      <c r="C2861" t="s">
        <v>1437</v>
      </c>
      <c r="D2861">
        <v>718431</v>
      </c>
      <c r="E2861" t="s">
        <v>1438</v>
      </c>
      <c r="F2861">
        <v>61.582999999999998</v>
      </c>
      <c r="G2861">
        <v>-71.933000000000007</v>
      </c>
      <c r="H2861">
        <v>-5</v>
      </c>
      <c r="I2861">
        <v>151</v>
      </c>
      <c r="J2861" t="str">
        <f>HYPERLINK("https://climate.onebuilding.org/WMO_Region_4_North_and_Central_America/CAN_Canada/QC_Quebec/CAN_QC_Kangiqsujuaq.AP.718431_TMYx.2004-2018.zip")</f>
        <v>https://climate.onebuilding.org/WMO_Region_4_North_and_Central_America/CAN_Canada/QC_Quebec/CAN_QC_Kangiqsujuaq.AP.718431_TMYx.2004-2018.zip</v>
      </c>
    </row>
    <row r="2862" spans="1:10" x14ac:dyDescent="0.25">
      <c r="A2862" t="s">
        <v>6</v>
      </c>
      <c r="B2862" t="s">
        <v>14</v>
      </c>
      <c r="C2862" t="s">
        <v>1437</v>
      </c>
      <c r="D2862">
        <v>718431</v>
      </c>
      <c r="E2862" t="s">
        <v>10</v>
      </c>
      <c r="F2862">
        <v>61.588500000000003</v>
      </c>
      <c r="G2862">
        <v>-71.930499999999995</v>
      </c>
      <c r="H2862">
        <v>-5</v>
      </c>
      <c r="I2862">
        <v>151</v>
      </c>
      <c r="J2862" t="str">
        <f>HYPERLINK("https://climate.onebuilding.org/WMO_Region_4_North_and_Central_America/CAN_Canada/QC_Quebec/CAN_QC_Kangiqsujuaq.AP.718431_TMYx.2007-2021.zip")</f>
        <v>https://climate.onebuilding.org/WMO_Region_4_North_and_Central_America/CAN_Canada/QC_Quebec/CAN_QC_Kangiqsujuaq.AP.718431_TMYx.2007-2021.zip</v>
      </c>
    </row>
    <row r="2863" spans="1:10" x14ac:dyDescent="0.25">
      <c r="A2863" t="s">
        <v>6</v>
      </c>
      <c r="B2863" t="s">
        <v>14</v>
      </c>
      <c r="C2863" t="s">
        <v>1437</v>
      </c>
      <c r="D2863">
        <v>718431</v>
      </c>
      <c r="E2863" t="s">
        <v>10</v>
      </c>
      <c r="F2863">
        <v>61.588500000000003</v>
      </c>
      <c r="G2863">
        <v>-71.930499999999995</v>
      </c>
      <c r="H2863">
        <v>-5</v>
      </c>
      <c r="I2863">
        <v>151</v>
      </c>
      <c r="J2863" t="str">
        <f>HYPERLINK("https://climate.onebuilding.org/WMO_Region_4_North_and_Central_America/CAN_Canada/QC_Quebec/CAN_QC_Kangiqsujuaq.AP.718431_TMYx.2009-2023.zip")</f>
        <v>https://climate.onebuilding.org/WMO_Region_4_North_and_Central_America/CAN_Canada/QC_Quebec/CAN_QC_Kangiqsujuaq.AP.718431_TMYx.2009-2023.zip</v>
      </c>
    </row>
    <row r="2864" spans="1:10" x14ac:dyDescent="0.25">
      <c r="A2864" t="s">
        <v>6</v>
      </c>
      <c r="B2864" t="s">
        <v>14</v>
      </c>
      <c r="C2864" t="s">
        <v>1437</v>
      </c>
      <c r="D2864">
        <v>718431</v>
      </c>
      <c r="E2864" t="s">
        <v>10</v>
      </c>
      <c r="F2864">
        <v>61.588500000000003</v>
      </c>
      <c r="G2864">
        <v>-71.930499999999995</v>
      </c>
      <c r="H2864">
        <v>-5</v>
      </c>
      <c r="I2864">
        <v>151</v>
      </c>
      <c r="J2864" t="str">
        <f>HYPERLINK("https://climate.onebuilding.org/WMO_Region_4_North_and_Central_America/CAN_Canada/QC_Quebec/CAN_QC_Kangiqsujuaq.AP.718431_TMYx.zip")</f>
        <v>https://climate.onebuilding.org/WMO_Region_4_North_and_Central_America/CAN_Canada/QC_Quebec/CAN_QC_Kangiqsujuaq.AP.718431_TMYx.zip</v>
      </c>
    </row>
    <row r="2865" spans="1:10" x14ac:dyDescent="0.25">
      <c r="A2865" t="s">
        <v>6</v>
      </c>
      <c r="B2865" t="s">
        <v>42</v>
      </c>
      <c r="C2865" t="s">
        <v>1439</v>
      </c>
      <c r="D2865">
        <v>718432</v>
      </c>
      <c r="E2865" t="s">
        <v>1440</v>
      </c>
      <c r="F2865">
        <v>60.819000000000003</v>
      </c>
      <c r="G2865">
        <v>-78.149000000000001</v>
      </c>
      <c r="H2865">
        <v>-5</v>
      </c>
      <c r="I2865">
        <v>22.9</v>
      </c>
      <c r="J2865" t="str">
        <f>HYPERLINK("https://climate.onebuilding.org/WMO_Region_4_North_and_Central_America/CAN_Canada/NU_Nunavut/CAN_NU_Akulivik.AP.718432_TMYx.2004-2018.zip")</f>
        <v>https://climate.onebuilding.org/WMO_Region_4_North_and_Central_America/CAN_Canada/NU_Nunavut/CAN_NU_Akulivik.AP.718432_TMYx.2004-2018.zip</v>
      </c>
    </row>
    <row r="2866" spans="1:10" x14ac:dyDescent="0.25">
      <c r="A2866" t="s">
        <v>6</v>
      </c>
      <c r="B2866" t="s">
        <v>42</v>
      </c>
      <c r="C2866" t="s">
        <v>1439</v>
      </c>
      <c r="D2866">
        <v>718432</v>
      </c>
      <c r="E2866" t="s">
        <v>10</v>
      </c>
      <c r="F2866">
        <v>60.819000000000003</v>
      </c>
      <c r="G2866">
        <v>-78.149000000000001</v>
      </c>
      <c r="H2866">
        <v>-5</v>
      </c>
      <c r="I2866">
        <v>22.9</v>
      </c>
      <c r="J2866" t="str">
        <f>HYPERLINK("https://climate.onebuilding.org/WMO_Region_4_North_and_Central_America/CAN_Canada/NU_Nunavut/CAN_NU_Akulivik.AP.718432_TMYx.2007-2021.zip")</f>
        <v>https://climate.onebuilding.org/WMO_Region_4_North_and_Central_America/CAN_Canada/NU_Nunavut/CAN_NU_Akulivik.AP.718432_TMYx.2007-2021.zip</v>
      </c>
    </row>
    <row r="2867" spans="1:10" x14ac:dyDescent="0.25">
      <c r="A2867" t="s">
        <v>6</v>
      </c>
      <c r="B2867" t="s">
        <v>42</v>
      </c>
      <c r="C2867" t="s">
        <v>1439</v>
      </c>
      <c r="D2867">
        <v>718432</v>
      </c>
      <c r="E2867" t="s">
        <v>10</v>
      </c>
      <c r="F2867">
        <v>60.819000000000003</v>
      </c>
      <c r="G2867">
        <v>-78.149000000000001</v>
      </c>
      <c r="H2867">
        <v>-5</v>
      </c>
      <c r="I2867">
        <v>22.9</v>
      </c>
      <c r="J2867" t="str">
        <f>HYPERLINK("https://climate.onebuilding.org/WMO_Region_4_North_and_Central_America/CAN_Canada/NU_Nunavut/CAN_NU_Akulivik.AP.718432_TMYx.2009-2023.zip")</f>
        <v>https://climate.onebuilding.org/WMO_Region_4_North_and_Central_America/CAN_Canada/NU_Nunavut/CAN_NU_Akulivik.AP.718432_TMYx.2009-2023.zip</v>
      </c>
    </row>
    <row r="2868" spans="1:10" x14ac:dyDescent="0.25">
      <c r="A2868" t="s">
        <v>6</v>
      </c>
      <c r="B2868" t="s">
        <v>42</v>
      </c>
      <c r="C2868" t="s">
        <v>1439</v>
      </c>
      <c r="D2868">
        <v>718432</v>
      </c>
      <c r="E2868" t="s">
        <v>10</v>
      </c>
      <c r="F2868">
        <v>60.819000000000003</v>
      </c>
      <c r="G2868">
        <v>-78.149000000000001</v>
      </c>
      <c r="H2868">
        <v>-5</v>
      </c>
      <c r="I2868">
        <v>22.9</v>
      </c>
      <c r="J2868" t="str">
        <f>HYPERLINK("https://climate.onebuilding.org/WMO_Region_4_North_and_Central_America/CAN_Canada/NU_Nunavut/CAN_NU_Akulivik.AP.718432_TMYx.zip")</f>
        <v>https://climate.onebuilding.org/WMO_Region_4_North_and_Central_America/CAN_Canada/NU_Nunavut/CAN_NU_Akulivik.AP.718432_TMYx.zip</v>
      </c>
    </row>
    <row r="2869" spans="1:10" x14ac:dyDescent="0.25">
      <c r="A2869" t="s">
        <v>6</v>
      </c>
      <c r="B2869" t="s">
        <v>14</v>
      </c>
      <c r="C2869" t="s">
        <v>1441</v>
      </c>
      <c r="D2869">
        <v>718433</v>
      </c>
      <c r="E2869" t="s">
        <v>1442</v>
      </c>
      <c r="F2869">
        <v>59.296999999999997</v>
      </c>
      <c r="G2869">
        <v>-69.983000000000004</v>
      </c>
      <c r="H2869">
        <v>-5</v>
      </c>
      <c r="I2869">
        <v>36.9</v>
      </c>
      <c r="J2869" t="str">
        <f>HYPERLINK("https://climate.onebuilding.org/WMO_Region_4_North_and_Central_America/CAN_Canada/QC_Quebec/CAN_QC_Aupaluka.718433_TMYx.2004-2018.zip")</f>
        <v>https://climate.onebuilding.org/WMO_Region_4_North_and_Central_America/CAN_Canada/QC_Quebec/CAN_QC_Aupaluka.718433_TMYx.2004-2018.zip</v>
      </c>
    </row>
    <row r="2870" spans="1:10" x14ac:dyDescent="0.25">
      <c r="A2870" t="s">
        <v>6</v>
      </c>
      <c r="B2870" t="s">
        <v>14</v>
      </c>
      <c r="C2870" t="s">
        <v>1441</v>
      </c>
      <c r="D2870">
        <v>718433</v>
      </c>
      <c r="E2870" t="s">
        <v>10</v>
      </c>
      <c r="F2870">
        <v>59.296999999999997</v>
      </c>
      <c r="G2870">
        <v>-69.983000000000004</v>
      </c>
      <c r="H2870">
        <v>-5</v>
      </c>
      <c r="I2870">
        <v>36.9</v>
      </c>
      <c r="J2870" t="str">
        <f>HYPERLINK("https://climate.onebuilding.org/WMO_Region_4_North_and_Central_America/CAN_Canada/QC_Quebec/CAN_QC_Aupaluka.718433_TMYx.2007-2021.zip")</f>
        <v>https://climate.onebuilding.org/WMO_Region_4_North_and_Central_America/CAN_Canada/QC_Quebec/CAN_QC_Aupaluka.718433_TMYx.2007-2021.zip</v>
      </c>
    </row>
    <row r="2871" spans="1:10" x14ac:dyDescent="0.25">
      <c r="A2871" t="s">
        <v>6</v>
      </c>
      <c r="B2871" t="s">
        <v>14</v>
      </c>
      <c r="C2871" t="s">
        <v>1441</v>
      </c>
      <c r="D2871">
        <v>718433</v>
      </c>
      <c r="E2871" t="s">
        <v>10</v>
      </c>
      <c r="F2871">
        <v>59.296999999999997</v>
      </c>
      <c r="G2871">
        <v>-69.983000000000004</v>
      </c>
      <c r="H2871">
        <v>-5</v>
      </c>
      <c r="I2871">
        <v>36.9</v>
      </c>
      <c r="J2871" t="str">
        <f>HYPERLINK("https://climate.onebuilding.org/WMO_Region_4_North_and_Central_America/CAN_Canada/QC_Quebec/CAN_QC_Aupaluka.718433_TMYx.2009-2023.zip")</f>
        <v>https://climate.onebuilding.org/WMO_Region_4_North_and_Central_America/CAN_Canada/QC_Quebec/CAN_QC_Aupaluka.718433_TMYx.2009-2023.zip</v>
      </c>
    </row>
    <row r="2872" spans="1:10" x14ac:dyDescent="0.25">
      <c r="A2872" t="s">
        <v>6</v>
      </c>
      <c r="B2872" t="s">
        <v>14</v>
      </c>
      <c r="C2872" t="s">
        <v>1441</v>
      </c>
      <c r="D2872">
        <v>718433</v>
      </c>
      <c r="E2872" t="s">
        <v>10</v>
      </c>
      <c r="F2872">
        <v>59.296999999999997</v>
      </c>
      <c r="G2872">
        <v>-69.983000000000004</v>
      </c>
      <c r="H2872">
        <v>-5</v>
      </c>
      <c r="I2872">
        <v>36.9</v>
      </c>
      <c r="J2872" t="str">
        <f>HYPERLINK("https://climate.onebuilding.org/WMO_Region_4_North_and_Central_America/CAN_Canada/QC_Quebec/CAN_QC_Aupaluka.718433_TMYx.zip")</f>
        <v>https://climate.onebuilding.org/WMO_Region_4_North_and_Central_America/CAN_Canada/QC_Quebec/CAN_QC_Aupaluka.718433_TMYx.zip</v>
      </c>
    </row>
    <row r="2873" spans="1:10" x14ac:dyDescent="0.25">
      <c r="A2873" t="s">
        <v>6</v>
      </c>
      <c r="B2873" t="s">
        <v>14</v>
      </c>
      <c r="C2873" t="s">
        <v>1443</v>
      </c>
      <c r="D2873">
        <v>718436</v>
      </c>
      <c r="E2873" t="s">
        <v>10</v>
      </c>
      <c r="F2873">
        <v>53.01</v>
      </c>
      <c r="G2873">
        <v>-78.832999999999998</v>
      </c>
      <c r="H2873">
        <v>-5</v>
      </c>
      <c r="I2873">
        <v>15</v>
      </c>
      <c r="J2873" t="str">
        <f>HYPERLINK("https://climate.onebuilding.org/WMO_Region_4_North_and_Central_America/CAN_Canada/QC_Quebec/CAN_QC_Wemindji.AP.718436_TMYx.2007-2021.zip")</f>
        <v>https://climate.onebuilding.org/WMO_Region_4_North_and_Central_America/CAN_Canada/QC_Quebec/CAN_QC_Wemindji.AP.718436_TMYx.2007-2021.zip</v>
      </c>
    </row>
    <row r="2874" spans="1:10" x14ac:dyDescent="0.25">
      <c r="A2874" t="s">
        <v>6</v>
      </c>
      <c r="B2874" t="s">
        <v>14</v>
      </c>
      <c r="C2874" t="s">
        <v>1443</v>
      </c>
      <c r="D2874">
        <v>718436</v>
      </c>
      <c r="E2874" t="s">
        <v>10</v>
      </c>
      <c r="F2874">
        <v>53.01</v>
      </c>
      <c r="G2874">
        <v>-78.832999999999998</v>
      </c>
      <c r="H2874">
        <v>-5</v>
      </c>
      <c r="I2874">
        <v>15</v>
      </c>
      <c r="J2874" t="str">
        <f>HYPERLINK("https://climate.onebuilding.org/WMO_Region_4_North_and_Central_America/CAN_Canada/QC_Quebec/CAN_QC_Wemindji.AP.718436_TMYx.2009-2023.zip")</f>
        <v>https://climate.onebuilding.org/WMO_Region_4_North_and_Central_America/CAN_Canada/QC_Quebec/CAN_QC_Wemindji.AP.718436_TMYx.2009-2023.zip</v>
      </c>
    </row>
    <row r="2875" spans="1:10" x14ac:dyDescent="0.25">
      <c r="A2875" t="s">
        <v>6</v>
      </c>
      <c r="B2875" t="s">
        <v>14</v>
      </c>
      <c r="C2875" t="s">
        <v>1443</v>
      </c>
      <c r="D2875">
        <v>718436</v>
      </c>
      <c r="E2875" t="s">
        <v>10</v>
      </c>
      <c r="F2875">
        <v>53.01</v>
      </c>
      <c r="G2875">
        <v>-78.832999999999998</v>
      </c>
      <c r="H2875">
        <v>-5</v>
      </c>
      <c r="I2875">
        <v>15</v>
      </c>
      <c r="J2875" t="str">
        <f>HYPERLINK("https://climate.onebuilding.org/WMO_Region_4_North_and_Central_America/CAN_Canada/QC_Quebec/CAN_QC_Wemindji.AP.718436_TMYx.zip")</f>
        <v>https://climate.onebuilding.org/WMO_Region_4_North_and_Central_America/CAN_Canada/QC_Quebec/CAN_QC_Wemindji.AP.718436_TMYx.zip</v>
      </c>
    </row>
    <row r="2876" spans="1:10" x14ac:dyDescent="0.25">
      <c r="A2876" t="s">
        <v>6</v>
      </c>
      <c r="B2876" t="s">
        <v>17</v>
      </c>
      <c r="C2876" t="s">
        <v>1444</v>
      </c>
      <c r="D2876">
        <v>718438</v>
      </c>
      <c r="E2876" t="s">
        <v>10</v>
      </c>
      <c r="F2876">
        <v>50.267000000000003</v>
      </c>
      <c r="G2876">
        <v>-111.18300000000001</v>
      </c>
      <c r="H2876">
        <v>-7</v>
      </c>
      <c r="I2876">
        <v>770</v>
      </c>
      <c r="J2876" t="str">
        <f>HYPERLINK("https://climate.onebuilding.org/WMO_Region_4_North_and_Central_America/CAN_Canada/AB_Alberta/CAN_AB_Suffield.AP.718438_TMYx.2007-2021.zip")</f>
        <v>https://climate.onebuilding.org/WMO_Region_4_North_and_Central_America/CAN_Canada/AB_Alberta/CAN_AB_Suffield.AP.718438_TMYx.2007-2021.zip</v>
      </c>
    </row>
    <row r="2877" spans="1:10" x14ac:dyDescent="0.25">
      <c r="A2877" t="s">
        <v>6</v>
      </c>
      <c r="B2877" t="s">
        <v>17</v>
      </c>
      <c r="C2877" t="s">
        <v>1444</v>
      </c>
      <c r="D2877">
        <v>718438</v>
      </c>
      <c r="E2877" t="s">
        <v>10</v>
      </c>
      <c r="F2877">
        <v>50.267000000000003</v>
      </c>
      <c r="G2877">
        <v>-111.18300000000001</v>
      </c>
      <c r="H2877">
        <v>-7</v>
      </c>
      <c r="I2877">
        <v>770</v>
      </c>
      <c r="J2877" t="str">
        <f>HYPERLINK("https://climate.onebuilding.org/WMO_Region_4_North_and_Central_America/CAN_Canada/AB_Alberta/CAN_AB_Suffield.AP.718438_TMYx.2009-2023.zip")</f>
        <v>https://climate.onebuilding.org/WMO_Region_4_North_and_Central_America/CAN_Canada/AB_Alberta/CAN_AB_Suffield.AP.718438_TMYx.2009-2023.zip</v>
      </c>
    </row>
    <row r="2878" spans="1:10" x14ac:dyDescent="0.25">
      <c r="A2878" t="s">
        <v>6</v>
      </c>
      <c r="B2878" t="s">
        <v>17</v>
      </c>
      <c r="C2878" t="s">
        <v>1444</v>
      </c>
      <c r="D2878">
        <v>718438</v>
      </c>
      <c r="E2878" t="s">
        <v>10</v>
      </c>
      <c r="F2878">
        <v>50.267000000000003</v>
      </c>
      <c r="G2878">
        <v>-111.18300000000001</v>
      </c>
      <c r="H2878">
        <v>-7</v>
      </c>
      <c r="I2878">
        <v>770</v>
      </c>
      <c r="J2878" t="str">
        <f>HYPERLINK("https://climate.onebuilding.org/WMO_Region_4_North_and_Central_America/CAN_Canada/AB_Alberta/CAN_AB_Suffield.AP.718438_TMYx.zip")</f>
        <v>https://climate.onebuilding.org/WMO_Region_4_North_and_Central_America/CAN_Canada/AB_Alberta/CAN_AB_Suffield.AP.718438_TMYx.zip</v>
      </c>
    </row>
    <row r="2879" spans="1:10" x14ac:dyDescent="0.25">
      <c r="A2879" t="s">
        <v>6</v>
      </c>
      <c r="B2879" t="s">
        <v>14</v>
      </c>
      <c r="C2879" t="s">
        <v>1445</v>
      </c>
      <c r="D2879">
        <v>718442</v>
      </c>
      <c r="E2879" t="s">
        <v>1446</v>
      </c>
      <c r="F2879">
        <v>62.179000000000002</v>
      </c>
      <c r="G2879">
        <v>-75.667000000000002</v>
      </c>
      <c r="H2879">
        <v>-5</v>
      </c>
      <c r="I2879">
        <v>232</v>
      </c>
      <c r="J2879" t="str">
        <f>HYPERLINK("https://climate.onebuilding.org/WMO_Region_4_North_and_Central_America/CAN_Canada/QC_Quebec/CAN_QC_Salluit.AP.718442_TMYx.2004-2018.zip")</f>
        <v>https://climate.onebuilding.org/WMO_Region_4_North_and_Central_America/CAN_Canada/QC_Quebec/CAN_QC_Salluit.AP.718442_TMYx.2004-2018.zip</v>
      </c>
    </row>
    <row r="2880" spans="1:10" x14ac:dyDescent="0.25">
      <c r="A2880" t="s">
        <v>6</v>
      </c>
      <c r="B2880" t="s">
        <v>14</v>
      </c>
      <c r="C2880" t="s">
        <v>1445</v>
      </c>
      <c r="D2880">
        <v>718442</v>
      </c>
      <c r="E2880" t="s">
        <v>10</v>
      </c>
      <c r="F2880">
        <v>62.179000000000002</v>
      </c>
      <c r="G2880">
        <v>-75.667000000000002</v>
      </c>
      <c r="H2880">
        <v>-5</v>
      </c>
      <c r="I2880">
        <v>232</v>
      </c>
      <c r="J2880" t="str">
        <f>HYPERLINK("https://climate.onebuilding.org/WMO_Region_4_North_and_Central_America/CAN_Canada/QC_Quebec/CAN_QC_Salluit.AP.718442_TMYx.2007-2021.zip")</f>
        <v>https://climate.onebuilding.org/WMO_Region_4_North_and_Central_America/CAN_Canada/QC_Quebec/CAN_QC_Salluit.AP.718442_TMYx.2007-2021.zip</v>
      </c>
    </row>
    <row r="2881" spans="1:10" x14ac:dyDescent="0.25">
      <c r="A2881" t="s">
        <v>6</v>
      </c>
      <c r="B2881" t="s">
        <v>14</v>
      </c>
      <c r="C2881" t="s">
        <v>1445</v>
      </c>
      <c r="D2881">
        <v>718442</v>
      </c>
      <c r="E2881" t="s">
        <v>10</v>
      </c>
      <c r="F2881">
        <v>62.179000000000002</v>
      </c>
      <c r="G2881">
        <v>-75.667000000000002</v>
      </c>
      <c r="H2881">
        <v>-5</v>
      </c>
      <c r="I2881">
        <v>232</v>
      </c>
      <c r="J2881" t="str">
        <f>HYPERLINK("https://climate.onebuilding.org/WMO_Region_4_North_and_Central_America/CAN_Canada/QC_Quebec/CAN_QC_Salluit.AP.718442_TMYx.2009-2023.zip")</f>
        <v>https://climate.onebuilding.org/WMO_Region_4_North_and_Central_America/CAN_Canada/QC_Quebec/CAN_QC_Salluit.AP.718442_TMYx.2009-2023.zip</v>
      </c>
    </row>
    <row r="2882" spans="1:10" x14ac:dyDescent="0.25">
      <c r="A2882" t="s">
        <v>6</v>
      </c>
      <c r="B2882" t="s">
        <v>14</v>
      </c>
      <c r="C2882" t="s">
        <v>1445</v>
      </c>
      <c r="D2882">
        <v>718442</v>
      </c>
      <c r="E2882" t="s">
        <v>10</v>
      </c>
      <c r="F2882">
        <v>62.179000000000002</v>
      </c>
      <c r="G2882">
        <v>-75.667000000000002</v>
      </c>
      <c r="H2882">
        <v>-5</v>
      </c>
      <c r="I2882">
        <v>232</v>
      </c>
      <c r="J2882" t="str">
        <f>HYPERLINK("https://climate.onebuilding.org/WMO_Region_4_North_and_Central_America/CAN_Canada/QC_Quebec/CAN_QC_Salluit.AP.718442_TMYx.zip")</f>
        <v>https://climate.onebuilding.org/WMO_Region_4_North_and_Central_America/CAN_Canada/QC_Quebec/CAN_QC_Salluit.AP.718442_TMYx.zip</v>
      </c>
    </row>
    <row r="2883" spans="1:10" x14ac:dyDescent="0.25">
      <c r="A2883" t="s">
        <v>6</v>
      </c>
      <c r="B2883" t="s">
        <v>14</v>
      </c>
      <c r="C2883" t="s">
        <v>1447</v>
      </c>
      <c r="D2883">
        <v>718443</v>
      </c>
      <c r="E2883" t="s">
        <v>10</v>
      </c>
      <c r="F2883">
        <v>52.232999999999997</v>
      </c>
      <c r="G2883">
        <v>-78.516999999999996</v>
      </c>
      <c r="H2883">
        <v>-5</v>
      </c>
      <c r="I2883">
        <v>7</v>
      </c>
      <c r="J2883" t="str">
        <f>HYPERLINK("https://climate.onebuilding.org/WMO_Region_4_North_and_Central_America/CAN_Canada/QC_Quebec/CAN_QC_Eastmain.River.AP.718443_TMYx.2007-2021.zip")</f>
        <v>https://climate.onebuilding.org/WMO_Region_4_North_and_Central_America/CAN_Canada/QC_Quebec/CAN_QC_Eastmain.River.AP.718443_TMYx.2007-2021.zip</v>
      </c>
    </row>
    <row r="2884" spans="1:10" x14ac:dyDescent="0.25">
      <c r="A2884" t="s">
        <v>6</v>
      </c>
      <c r="B2884" t="s">
        <v>14</v>
      </c>
      <c r="C2884" t="s">
        <v>1447</v>
      </c>
      <c r="D2884">
        <v>718443</v>
      </c>
      <c r="E2884" t="s">
        <v>10</v>
      </c>
      <c r="F2884">
        <v>52.232999999999997</v>
      </c>
      <c r="G2884">
        <v>-78.516999999999996</v>
      </c>
      <c r="H2884">
        <v>-5</v>
      </c>
      <c r="I2884">
        <v>7</v>
      </c>
      <c r="J2884" t="str">
        <f>HYPERLINK("https://climate.onebuilding.org/WMO_Region_4_North_and_Central_America/CAN_Canada/QC_Quebec/CAN_QC_Eastmain.River.AP.718443_TMYx.2009-2023.zip")</f>
        <v>https://climate.onebuilding.org/WMO_Region_4_North_and_Central_America/CAN_Canada/QC_Quebec/CAN_QC_Eastmain.River.AP.718443_TMYx.2009-2023.zip</v>
      </c>
    </row>
    <row r="2885" spans="1:10" x14ac:dyDescent="0.25">
      <c r="A2885" t="s">
        <v>6</v>
      </c>
      <c r="B2885" t="s">
        <v>14</v>
      </c>
      <c r="C2885" t="s">
        <v>1447</v>
      </c>
      <c r="D2885">
        <v>718443</v>
      </c>
      <c r="E2885" t="s">
        <v>10</v>
      </c>
      <c r="F2885">
        <v>52.232999999999997</v>
      </c>
      <c r="G2885">
        <v>-78.516999999999996</v>
      </c>
      <c r="H2885">
        <v>-5</v>
      </c>
      <c r="I2885">
        <v>7</v>
      </c>
      <c r="J2885" t="str">
        <f>HYPERLINK("https://climate.onebuilding.org/WMO_Region_4_North_and_Central_America/CAN_Canada/QC_Quebec/CAN_QC_Eastmain.River.AP.718443_TMYx.zip")</f>
        <v>https://climate.onebuilding.org/WMO_Region_4_North_and_Central_America/CAN_Canada/QC_Quebec/CAN_QC_Eastmain.River.AP.718443_TMYx.zip</v>
      </c>
    </row>
    <row r="2886" spans="1:10" x14ac:dyDescent="0.25">
      <c r="A2886" t="s">
        <v>6</v>
      </c>
      <c r="B2886" t="s">
        <v>130</v>
      </c>
      <c r="C2886" t="s">
        <v>1448</v>
      </c>
      <c r="D2886">
        <v>718450</v>
      </c>
      <c r="E2886" t="s">
        <v>1449</v>
      </c>
      <c r="F2886">
        <v>51.446399999999997</v>
      </c>
      <c r="G2886">
        <v>-90.214200000000005</v>
      </c>
      <c r="H2886">
        <v>-5</v>
      </c>
      <c r="I2886">
        <v>386.2</v>
      </c>
      <c r="J2886" t="str">
        <f>HYPERLINK("https://climate.onebuilding.org/WMO_Region_4_North_and_Central_America/CAN_Canada/ON_Ontario/CAN_ON_Pickle.Lake.AP.718450_TMYx.2004-2018.zip")</f>
        <v>https://climate.onebuilding.org/WMO_Region_4_North_and_Central_America/CAN_Canada/ON_Ontario/CAN_ON_Pickle.Lake.AP.718450_TMYx.2004-2018.zip</v>
      </c>
    </row>
    <row r="2887" spans="1:10" x14ac:dyDescent="0.25">
      <c r="A2887" t="s">
        <v>6</v>
      </c>
      <c r="B2887" t="s">
        <v>130</v>
      </c>
      <c r="C2887" t="s">
        <v>1448</v>
      </c>
      <c r="D2887">
        <v>718450</v>
      </c>
      <c r="E2887" t="s">
        <v>10</v>
      </c>
      <c r="F2887">
        <v>51.449199999999998</v>
      </c>
      <c r="G2887">
        <v>-90.218100000000007</v>
      </c>
      <c r="H2887">
        <v>-5</v>
      </c>
      <c r="I2887">
        <v>386.2</v>
      </c>
      <c r="J2887" t="str">
        <f>HYPERLINK("https://climate.onebuilding.org/WMO_Region_4_North_and_Central_America/CAN_Canada/ON_Ontario/CAN_ON_Pickle.Lake.AP.718450_TMYx.2007-2021.zip")</f>
        <v>https://climate.onebuilding.org/WMO_Region_4_North_and_Central_America/CAN_Canada/ON_Ontario/CAN_ON_Pickle.Lake.AP.718450_TMYx.2007-2021.zip</v>
      </c>
    </row>
    <row r="2888" spans="1:10" x14ac:dyDescent="0.25">
      <c r="A2888" t="s">
        <v>6</v>
      </c>
      <c r="B2888" t="s">
        <v>130</v>
      </c>
      <c r="C2888" t="s">
        <v>1448</v>
      </c>
      <c r="D2888">
        <v>718450</v>
      </c>
      <c r="E2888" t="s">
        <v>10</v>
      </c>
      <c r="F2888">
        <v>51.449199999999998</v>
      </c>
      <c r="G2888">
        <v>-90.218100000000007</v>
      </c>
      <c r="H2888">
        <v>-5</v>
      </c>
      <c r="I2888">
        <v>386.2</v>
      </c>
      <c r="J2888" t="str">
        <f>HYPERLINK("https://climate.onebuilding.org/WMO_Region_4_North_and_Central_America/CAN_Canada/ON_Ontario/CAN_ON_Pickle.Lake.AP.718450_TMYx.2009-2023.zip")</f>
        <v>https://climate.onebuilding.org/WMO_Region_4_North_and_Central_America/CAN_Canada/ON_Ontario/CAN_ON_Pickle.Lake.AP.718450_TMYx.2009-2023.zip</v>
      </c>
    </row>
    <row r="2889" spans="1:10" x14ac:dyDescent="0.25">
      <c r="A2889" t="s">
        <v>6</v>
      </c>
      <c r="B2889" t="s">
        <v>130</v>
      </c>
      <c r="C2889" t="s">
        <v>1448</v>
      </c>
      <c r="D2889">
        <v>718450</v>
      </c>
      <c r="E2889" t="s">
        <v>10</v>
      </c>
      <c r="F2889">
        <v>51.449199999999998</v>
      </c>
      <c r="G2889">
        <v>-90.218100000000007</v>
      </c>
      <c r="H2889">
        <v>-5</v>
      </c>
      <c r="I2889">
        <v>386.2</v>
      </c>
      <c r="J2889" t="str">
        <f>HYPERLINK("https://climate.onebuilding.org/WMO_Region_4_North_and_Central_America/CAN_Canada/ON_Ontario/CAN_ON_Pickle.Lake.AP.718450_TMYx.zip")</f>
        <v>https://climate.onebuilding.org/WMO_Region_4_North_and_Central_America/CAN_Canada/ON_Ontario/CAN_ON_Pickle.Lake.AP.718450_TMYx.zip</v>
      </c>
    </row>
    <row r="2890" spans="1:10" x14ac:dyDescent="0.25">
      <c r="A2890" t="s">
        <v>6</v>
      </c>
      <c r="B2890" t="s">
        <v>130</v>
      </c>
      <c r="C2890" t="s">
        <v>1450</v>
      </c>
      <c r="D2890">
        <v>718460</v>
      </c>
      <c r="E2890" t="s">
        <v>1451</v>
      </c>
      <c r="F2890">
        <v>52.196100000000001</v>
      </c>
      <c r="G2890">
        <v>-87.936099999999996</v>
      </c>
      <c r="H2890">
        <v>-5</v>
      </c>
      <c r="I2890">
        <v>253</v>
      </c>
      <c r="J2890" t="str">
        <f>HYPERLINK("https://climate.onebuilding.org/WMO_Region_4_North_and_Central_America/CAN_Canada/ON_Ontario/CAN_ON_Lansdowne.House.AP.718460_TMYx.2004-2018.zip")</f>
        <v>https://climate.onebuilding.org/WMO_Region_4_North_and_Central_America/CAN_Canada/ON_Ontario/CAN_ON_Lansdowne.House.AP.718460_TMYx.2004-2018.zip</v>
      </c>
    </row>
    <row r="2891" spans="1:10" x14ac:dyDescent="0.25">
      <c r="A2891" t="s">
        <v>6</v>
      </c>
      <c r="B2891" t="s">
        <v>130</v>
      </c>
      <c r="C2891" t="s">
        <v>1450</v>
      </c>
      <c r="D2891">
        <v>718460</v>
      </c>
      <c r="E2891" t="s">
        <v>10</v>
      </c>
      <c r="F2891">
        <v>52.196100000000001</v>
      </c>
      <c r="G2891">
        <v>-87.936099999999996</v>
      </c>
      <c r="H2891">
        <v>-5</v>
      </c>
      <c r="I2891">
        <v>253</v>
      </c>
      <c r="J2891" t="str">
        <f>HYPERLINK("https://climate.onebuilding.org/WMO_Region_4_North_and_Central_America/CAN_Canada/ON_Ontario/CAN_ON_Lansdowne.House.AP.718460_TMYx.2007-2021.zip")</f>
        <v>https://climate.onebuilding.org/WMO_Region_4_North_and_Central_America/CAN_Canada/ON_Ontario/CAN_ON_Lansdowne.House.AP.718460_TMYx.2007-2021.zip</v>
      </c>
    </row>
    <row r="2892" spans="1:10" x14ac:dyDescent="0.25">
      <c r="A2892" t="s">
        <v>6</v>
      </c>
      <c r="B2892" t="s">
        <v>130</v>
      </c>
      <c r="C2892" t="s">
        <v>1450</v>
      </c>
      <c r="D2892">
        <v>718460</v>
      </c>
      <c r="E2892" t="s">
        <v>10</v>
      </c>
      <c r="F2892">
        <v>52.196100000000001</v>
      </c>
      <c r="G2892">
        <v>-87.936099999999996</v>
      </c>
      <c r="H2892">
        <v>-5</v>
      </c>
      <c r="I2892">
        <v>253</v>
      </c>
      <c r="J2892" t="str">
        <f>HYPERLINK("https://climate.onebuilding.org/WMO_Region_4_North_and_Central_America/CAN_Canada/ON_Ontario/CAN_ON_Lansdowne.House.AP.718460_TMYx.2009-2023.zip")</f>
        <v>https://climate.onebuilding.org/WMO_Region_4_North_and_Central_America/CAN_Canada/ON_Ontario/CAN_ON_Lansdowne.House.AP.718460_TMYx.2009-2023.zip</v>
      </c>
    </row>
    <row r="2893" spans="1:10" x14ac:dyDescent="0.25">
      <c r="A2893" t="s">
        <v>6</v>
      </c>
      <c r="B2893" t="s">
        <v>130</v>
      </c>
      <c r="C2893" t="s">
        <v>1450</v>
      </c>
      <c r="D2893">
        <v>718460</v>
      </c>
      <c r="E2893" t="s">
        <v>10</v>
      </c>
      <c r="F2893">
        <v>52.196100000000001</v>
      </c>
      <c r="G2893">
        <v>-87.936099999999996</v>
      </c>
      <c r="H2893">
        <v>-5</v>
      </c>
      <c r="I2893">
        <v>253</v>
      </c>
      <c r="J2893" t="str">
        <f>HYPERLINK("https://climate.onebuilding.org/WMO_Region_4_North_and_Central_America/CAN_Canada/ON_Ontario/CAN_ON_Lansdowne.House.AP.718460_TMYx.zip")</f>
        <v>https://climate.onebuilding.org/WMO_Region_4_North_and_Central_America/CAN_Canada/ON_Ontario/CAN_ON_Lansdowne.House.AP.718460_TMYx.zip</v>
      </c>
    </row>
    <row r="2894" spans="1:10" x14ac:dyDescent="0.25">
      <c r="A2894" t="s">
        <v>6</v>
      </c>
      <c r="B2894" t="s">
        <v>17</v>
      </c>
      <c r="C2894" t="s">
        <v>1452</v>
      </c>
      <c r="D2894">
        <v>718480</v>
      </c>
      <c r="E2894" t="s">
        <v>1453</v>
      </c>
      <c r="F2894">
        <v>50.303600000000003</v>
      </c>
      <c r="G2894">
        <v>-112.8625</v>
      </c>
      <c r="H2894">
        <v>-7</v>
      </c>
      <c r="I2894">
        <v>955</v>
      </c>
      <c r="J2894" t="str">
        <f>HYPERLINK("https://climate.onebuilding.org/WMO_Region_4_North_and_Central_America/CAN_Canada/AB_Alberta/CAN_AB_Travers.AgCM.718480_TMYx.2004-2018.zip")</f>
        <v>https://climate.onebuilding.org/WMO_Region_4_North_and_Central_America/CAN_Canada/AB_Alberta/CAN_AB_Travers.AgCM.718480_TMYx.2004-2018.zip</v>
      </c>
    </row>
    <row r="2895" spans="1:10" x14ac:dyDescent="0.25">
      <c r="A2895" t="s">
        <v>6</v>
      </c>
      <c r="B2895" t="s">
        <v>17</v>
      </c>
      <c r="C2895" t="s">
        <v>1452</v>
      </c>
      <c r="D2895">
        <v>718480</v>
      </c>
      <c r="E2895" t="s">
        <v>10</v>
      </c>
      <c r="F2895">
        <v>50.303800000000003</v>
      </c>
      <c r="G2895">
        <v>-112.8626</v>
      </c>
      <c r="H2895">
        <v>-7</v>
      </c>
      <c r="I2895">
        <v>955</v>
      </c>
      <c r="J2895" t="str">
        <f>HYPERLINK("https://climate.onebuilding.org/WMO_Region_4_North_and_Central_America/CAN_Canada/AB_Alberta/CAN_AB_Travers.AgCM.718480_TMYx.2007-2021.zip")</f>
        <v>https://climate.onebuilding.org/WMO_Region_4_North_and_Central_America/CAN_Canada/AB_Alberta/CAN_AB_Travers.AgCM.718480_TMYx.2007-2021.zip</v>
      </c>
    </row>
    <row r="2896" spans="1:10" x14ac:dyDescent="0.25">
      <c r="A2896" t="s">
        <v>6</v>
      </c>
      <c r="B2896" t="s">
        <v>17</v>
      </c>
      <c r="C2896" t="s">
        <v>1452</v>
      </c>
      <c r="D2896">
        <v>718480</v>
      </c>
      <c r="E2896" t="s">
        <v>10</v>
      </c>
      <c r="F2896">
        <v>50.303800000000003</v>
      </c>
      <c r="G2896">
        <v>-112.8626</v>
      </c>
      <c r="H2896">
        <v>-7</v>
      </c>
      <c r="I2896">
        <v>955</v>
      </c>
      <c r="J2896" t="str">
        <f>HYPERLINK("https://climate.onebuilding.org/WMO_Region_4_North_and_Central_America/CAN_Canada/AB_Alberta/CAN_AB_Travers.AgCM.718480_TMYx.2009-2023.zip")</f>
        <v>https://climate.onebuilding.org/WMO_Region_4_North_and_Central_America/CAN_Canada/AB_Alberta/CAN_AB_Travers.AgCM.718480_TMYx.2009-2023.zip</v>
      </c>
    </row>
    <row r="2897" spans="1:10" x14ac:dyDescent="0.25">
      <c r="A2897" t="s">
        <v>6</v>
      </c>
      <c r="B2897" t="s">
        <v>17</v>
      </c>
      <c r="C2897" t="s">
        <v>1452</v>
      </c>
      <c r="D2897">
        <v>718480</v>
      </c>
      <c r="E2897" t="s">
        <v>10</v>
      </c>
      <c r="F2897">
        <v>50.303800000000003</v>
      </c>
      <c r="G2897">
        <v>-112.8626</v>
      </c>
      <c r="H2897">
        <v>-7</v>
      </c>
      <c r="I2897">
        <v>955</v>
      </c>
      <c r="J2897" t="str">
        <f>HYPERLINK("https://climate.onebuilding.org/WMO_Region_4_North_and_Central_America/CAN_Canada/AB_Alberta/CAN_AB_Travers.AgCM.718480_TMYx.zip")</f>
        <v>https://climate.onebuilding.org/WMO_Region_4_North_and_Central_America/CAN_Canada/AB_Alberta/CAN_AB_Travers.AgCM.718480_TMYx.zip</v>
      </c>
    </row>
    <row r="2898" spans="1:10" x14ac:dyDescent="0.25">
      <c r="A2898" t="s">
        <v>6</v>
      </c>
      <c r="B2898" t="s">
        <v>130</v>
      </c>
      <c r="C2898" t="s">
        <v>1454</v>
      </c>
      <c r="D2898">
        <v>718500</v>
      </c>
      <c r="E2898" t="s">
        <v>1455</v>
      </c>
      <c r="F2898">
        <v>49.790300000000002</v>
      </c>
      <c r="G2898">
        <v>-94.365300000000005</v>
      </c>
      <c r="H2898">
        <v>-6</v>
      </c>
      <c r="I2898">
        <v>409.7</v>
      </c>
      <c r="J2898" t="str">
        <f>HYPERLINK("https://climate.onebuilding.org/WMO_Region_4_North_and_Central_America/CAN_Canada/ON_Ontario/CAN_ON_Kenora.AP.718500_TMYx.2004-2018.zip")</f>
        <v>https://climate.onebuilding.org/WMO_Region_4_North_and_Central_America/CAN_Canada/ON_Ontario/CAN_ON_Kenora.AP.718500_TMYx.2004-2018.zip</v>
      </c>
    </row>
    <row r="2899" spans="1:10" x14ac:dyDescent="0.25">
      <c r="A2899" t="s">
        <v>6</v>
      </c>
      <c r="B2899" t="s">
        <v>130</v>
      </c>
      <c r="C2899" t="s">
        <v>1454</v>
      </c>
      <c r="D2899">
        <v>718500</v>
      </c>
      <c r="E2899" t="s">
        <v>10</v>
      </c>
      <c r="F2899">
        <v>49.790280000000003</v>
      </c>
      <c r="G2899">
        <v>-94.365269999999995</v>
      </c>
      <c r="H2899">
        <v>-6</v>
      </c>
      <c r="I2899">
        <v>409.7</v>
      </c>
      <c r="J2899" t="str">
        <f>HYPERLINK("https://climate.onebuilding.org/WMO_Region_4_North_and_Central_America/CAN_Canada/ON_Ontario/CAN_ON_Kenora.AP.718500_TMYx.2007-2021.zip")</f>
        <v>https://climate.onebuilding.org/WMO_Region_4_North_and_Central_America/CAN_Canada/ON_Ontario/CAN_ON_Kenora.AP.718500_TMYx.2007-2021.zip</v>
      </c>
    </row>
    <row r="2900" spans="1:10" x14ac:dyDescent="0.25">
      <c r="A2900" t="s">
        <v>6</v>
      </c>
      <c r="B2900" t="s">
        <v>130</v>
      </c>
      <c r="C2900" t="s">
        <v>1454</v>
      </c>
      <c r="D2900">
        <v>718500</v>
      </c>
      <c r="E2900" t="s">
        <v>10</v>
      </c>
      <c r="F2900">
        <v>49.790280000000003</v>
      </c>
      <c r="G2900">
        <v>-94.365269999999995</v>
      </c>
      <c r="H2900">
        <v>-6</v>
      </c>
      <c r="I2900">
        <v>409.7</v>
      </c>
      <c r="J2900" t="str">
        <f>HYPERLINK("https://climate.onebuilding.org/WMO_Region_4_North_and_Central_America/CAN_Canada/ON_Ontario/CAN_ON_Kenora.AP.718500_TMYx.2009-2023.zip")</f>
        <v>https://climate.onebuilding.org/WMO_Region_4_North_and_Central_America/CAN_Canada/ON_Ontario/CAN_ON_Kenora.AP.718500_TMYx.2009-2023.zip</v>
      </c>
    </row>
    <row r="2901" spans="1:10" x14ac:dyDescent="0.25">
      <c r="A2901" t="s">
        <v>6</v>
      </c>
      <c r="B2901" t="s">
        <v>130</v>
      </c>
      <c r="C2901" t="s">
        <v>1454</v>
      </c>
      <c r="D2901">
        <v>718500</v>
      </c>
      <c r="E2901" t="s">
        <v>10</v>
      </c>
      <c r="F2901">
        <v>49.790280000000003</v>
      </c>
      <c r="G2901">
        <v>-94.365269999999995</v>
      </c>
      <c r="H2901">
        <v>-6</v>
      </c>
      <c r="I2901">
        <v>409.7</v>
      </c>
      <c r="J2901" t="str">
        <f>HYPERLINK("https://climate.onebuilding.org/WMO_Region_4_North_and_Central_America/CAN_Canada/ON_Ontario/CAN_ON_Kenora.AP.718500_TMYx.zip")</f>
        <v>https://climate.onebuilding.org/WMO_Region_4_North_and_Central_America/CAN_Canada/ON_Ontario/CAN_ON_Kenora.AP.718500_TMYx.zip</v>
      </c>
    </row>
    <row r="2902" spans="1:10" x14ac:dyDescent="0.25">
      <c r="A2902" t="s">
        <v>6</v>
      </c>
      <c r="B2902" t="s">
        <v>94</v>
      </c>
      <c r="C2902" t="s">
        <v>1456</v>
      </c>
      <c r="D2902">
        <v>718510</v>
      </c>
      <c r="E2902" t="s">
        <v>1457</v>
      </c>
      <c r="F2902">
        <v>49.903100000000002</v>
      </c>
      <c r="G2902">
        <v>-98.284199999999998</v>
      </c>
      <c r="H2902">
        <v>-6</v>
      </c>
      <c r="I2902">
        <v>272.7</v>
      </c>
      <c r="J2902" t="str">
        <f>HYPERLINK("https://climate.onebuilding.org/WMO_Region_4_North_and_Central_America/CAN_Canada/MB_Manitoba/CAN_MB_Portage-Southport.AP.718510_TMYx.2004-2018.zip")</f>
        <v>https://climate.onebuilding.org/WMO_Region_4_North_and_Central_America/CAN_Canada/MB_Manitoba/CAN_MB_Portage-Southport.AP.718510_TMYx.2004-2018.zip</v>
      </c>
    </row>
    <row r="2903" spans="1:10" x14ac:dyDescent="0.25">
      <c r="A2903" t="s">
        <v>6</v>
      </c>
      <c r="B2903" t="s">
        <v>94</v>
      </c>
      <c r="C2903" t="s">
        <v>1456</v>
      </c>
      <c r="D2903">
        <v>718510</v>
      </c>
      <c r="E2903" t="s">
        <v>10</v>
      </c>
      <c r="F2903">
        <v>49.903100000000002</v>
      </c>
      <c r="G2903">
        <v>-98.284199999999998</v>
      </c>
      <c r="H2903">
        <v>-6</v>
      </c>
      <c r="I2903">
        <v>272.7</v>
      </c>
      <c r="J2903" t="str">
        <f>HYPERLINK("https://climate.onebuilding.org/WMO_Region_4_North_and_Central_America/CAN_Canada/MB_Manitoba/CAN_MB_Portage-Southport.AP.718510_TMYx.2007-2021.zip")</f>
        <v>https://climate.onebuilding.org/WMO_Region_4_North_and_Central_America/CAN_Canada/MB_Manitoba/CAN_MB_Portage-Southport.AP.718510_TMYx.2007-2021.zip</v>
      </c>
    </row>
    <row r="2904" spans="1:10" x14ac:dyDescent="0.25">
      <c r="A2904" t="s">
        <v>6</v>
      </c>
      <c r="B2904" t="s">
        <v>94</v>
      </c>
      <c r="C2904" t="s">
        <v>1456</v>
      </c>
      <c r="D2904">
        <v>718510</v>
      </c>
      <c r="E2904" t="s">
        <v>10</v>
      </c>
      <c r="F2904">
        <v>49.903100000000002</v>
      </c>
      <c r="G2904">
        <v>-98.284199999999998</v>
      </c>
      <c r="H2904">
        <v>-6</v>
      </c>
      <c r="I2904">
        <v>272.7</v>
      </c>
      <c r="J2904" t="str">
        <f>HYPERLINK("https://climate.onebuilding.org/WMO_Region_4_North_and_Central_America/CAN_Canada/MB_Manitoba/CAN_MB_Portage-Southport.AP.718510_TMYx.2009-2023.zip")</f>
        <v>https://climate.onebuilding.org/WMO_Region_4_North_and_Central_America/CAN_Canada/MB_Manitoba/CAN_MB_Portage-Southport.AP.718510_TMYx.2009-2023.zip</v>
      </c>
    </row>
    <row r="2905" spans="1:10" x14ac:dyDescent="0.25">
      <c r="A2905" t="s">
        <v>6</v>
      </c>
      <c r="B2905" t="s">
        <v>94</v>
      </c>
      <c r="C2905" t="s">
        <v>1456</v>
      </c>
      <c r="D2905">
        <v>718510</v>
      </c>
      <c r="E2905" t="s">
        <v>10</v>
      </c>
      <c r="F2905">
        <v>49.903100000000002</v>
      </c>
      <c r="G2905">
        <v>-98.284199999999998</v>
      </c>
      <c r="H2905">
        <v>-6</v>
      </c>
      <c r="I2905">
        <v>272.7</v>
      </c>
      <c r="J2905" t="str">
        <f>HYPERLINK("https://climate.onebuilding.org/WMO_Region_4_North_and_Central_America/CAN_Canada/MB_Manitoba/CAN_MB_Portage-Southport.AP.718510_TMYx.zip")</f>
        <v>https://climate.onebuilding.org/WMO_Region_4_North_and_Central_America/CAN_Canada/MB_Manitoba/CAN_MB_Portage-Southport.AP.718510_TMYx.zip</v>
      </c>
    </row>
    <row r="2906" spans="1:10" x14ac:dyDescent="0.25">
      <c r="A2906" t="s">
        <v>6</v>
      </c>
      <c r="B2906" t="s">
        <v>94</v>
      </c>
      <c r="C2906" t="s">
        <v>1458</v>
      </c>
      <c r="D2906">
        <v>718520</v>
      </c>
      <c r="E2906" t="s">
        <v>1459</v>
      </c>
      <c r="F2906">
        <v>49.916699999999999</v>
      </c>
      <c r="G2906">
        <v>-97.2333</v>
      </c>
      <c r="H2906">
        <v>-6</v>
      </c>
      <c r="I2906">
        <v>238.7</v>
      </c>
      <c r="J2906" t="str">
        <f>HYPERLINK("https://climate.onebuilding.org/WMO_Region_4_North_and_Central_America/CAN_Canada/MB_Manitoba/CAN_MB_Winnipeg-Richardson.Intl.AP.718520_TMYx.2004-2018.zip")</f>
        <v>https://climate.onebuilding.org/WMO_Region_4_North_and_Central_America/CAN_Canada/MB_Manitoba/CAN_MB_Winnipeg-Richardson.Intl.AP.718520_TMYx.2004-2018.zip</v>
      </c>
    </row>
    <row r="2907" spans="1:10" x14ac:dyDescent="0.25">
      <c r="A2907" t="s">
        <v>6</v>
      </c>
      <c r="B2907" t="s">
        <v>94</v>
      </c>
      <c r="C2907" t="s">
        <v>1458</v>
      </c>
      <c r="D2907">
        <v>718520</v>
      </c>
      <c r="E2907" t="s">
        <v>10</v>
      </c>
      <c r="F2907">
        <v>49.915799999999997</v>
      </c>
      <c r="G2907">
        <v>-97.249300000000005</v>
      </c>
      <c r="H2907">
        <v>-6</v>
      </c>
      <c r="I2907">
        <v>238.7</v>
      </c>
      <c r="J2907" t="str">
        <f>HYPERLINK("https://climate.onebuilding.org/WMO_Region_4_North_and_Central_America/CAN_Canada/MB_Manitoba/CAN_MB_Winnipeg-Richardson.Intl.AP.718520_TMYx.2007-2021.zip")</f>
        <v>https://climate.onebuilding.org/WMO_Region_4_North_and_Central_America/CAN_Canada/MB_Manitoba/CAN_MB_Winnipeg-Richardson.Intl.AP.718520_TMYx.2007-2021.zip</v>
      </c>
    </row>
    <row r="2908" spans="1:10" x14ac:dyDescent="0.25">
      <c r="A2908" t="s">
        <v>6</v>
      </c>
      <c r="B2908" t="s">
        <v>94</v>
      </c>
      <c r="C2908" t="s">
        <v>1458</v>
      </c>
      <c r="D2908">
        <v>718520</v>
      </c>
      <c r="E2908" t="s">
        <v>10</v>
      </c>
      <c r="F2908">
        <v>49.915799999999997</v>
      </c>
      <c r="G2908">
        <v>-97.249300000000005</v>
      </c>
      <c r="H2908">
        <v>-6</v>
      </c>
      <c r="I2908">
        <v>238.7</v>
      </c>
      <c r="J2908" t="str">
        <f>HYPERLINK("https://climate.onebuilding.org/WMO_Region_4_North_and_Central_America/CAN_Canada/MB_Manitoba/CAN_MB_Winnipeg-Richardson.Intl.AP.718520_TMYx.2009-2023.zip")</f>
        <v>https://climate.onebuilding.org/WMO_Region_4_North_and_Central_America/CAN_Canada/MB_Manitoba/CAN_MB_Winnipeg-Richardson.Intl.AP.718520_TMYx.2009-2023.zip</v>
      </c>
    </row>
    <row r="2909" spans="1:10" x14ac:dyDescent="0.25">
      <c r="A2909" t="s">
        <v>6</v>
      </c>
      <c r="B2909" t="s">
        <v>94</v>
      </c>
      <c r="C2909" t="s">
        <v>1458</v>
      </c>
      <c r="D2909">
        <v>718520</v>
      </c>
      <c r="E2909" t="s">
        <v>10</v>
      </c>
      <c r="F2909">
        <v>49.915799999999997</v>
      </c>
      <c r="G2909">
        <v>-97.249300000000005</v>
      </c>
      <c r="H2909">
        <v>-6</v>
      </c>
      <c r="I2909">
        <v>238.7</v>
      </c>
      <c r="J2909" t="str">
        <f>HYPERLINK("https://climate.onebuilding.org/WMO_Region_4_North_and_Central_America/CAN_Canada/MB_Manitoba/CAN_MB_Winnipeg-Richardson.Intl.AP.718520_TMYx.zip")</f>
        <v>https://climate.onebuilding.org/WMO_Region_4_North_and_Central_America/CAN_Canada/MB_Manitoba/CAN_MB_Winnipeg-Richardson.Intl.AP.718520_TMYx.zip</v>
      </c>
    </row>
    <row r="2910" spans="1:10" x14ac:dyDescent="0.25">
      <c r="A2910" t="s">
        <v>6</v>
      </c>
      <c r="B2910" t="s">
        <v>94</v>
      </c>
      <c r="C2910" t="s">
        <v>1460</v>
      </c>
      <c r="D2910">
        <v>718530</v>
      </c>
      <c r="E2910" t="s">
        <v>10</v>
      </c>
      <c r="F2910">
        <v>49.782800000000002</v>
      </c>
      <c r="G2910">
        <v>-99.643100000000004</v>
      </c>
      <c r="H2910">
        <v>-6</v>
      </c>
      <c r="I2910">
        <v>375.2</v>
      </c>
      <c r="J2910" t="str">
        <f>HYPERLINK("https://climate.onebuilding.org/WMO_Region_4_North_and_Central_America/CAN_Canada/MB_Manitoba/CAN_MB_Shilo.Heli-Flewin.Field.718530_TMYx.zip")</f>
        <v>https://climate.onebuilding.org/WMO_Region_4_North_and_Central_America/CAN_Canada/MB_Manitoba/CAN_MB_Shilo.Heli-Flewin.Field.718530_TMYx.zip</v>
      </c>
    </row>
    <row r="2911" spans="1:10" x14ac:dyDescent="0.25">
      <c r="A2911" t="s">
        <v>6</v>
      </c>
      <c r="B2911" t="s">
        <v>130</v>
      </c>
      <c r="C2911" t="s">
        <v>1461</v>
      </c>
      <c r="D2911">
        <v>718540</v>
      </c>
      <c r="E2911" t="s">
        <v>1462</v>
      </c>
      <c r="F2911">
        <v>51.066899999999997</v>
      </c>
      <c r="G2911">
        <v>-93.793099999999995</v>
      </c>
      <c r="H2911">
        <v>-6</v>
      </c>
      <c r="I2911">
        <v>385.9</v>
      </c>
      <c r="J2911" t="str">
        <f>HYPERLINK("https://climate.onebuilding.org/WMO_Region_4_North_and_Central_America/CAN_Canada/ON_Ontario/CAN_ON_Red.Lake.AP.718540_TMYx.2004-2018.zip")</f>
        <v>https://climate.onebuilding.org/WMO_Region_4_North_and_Central_America/CAN_Canada/ON_Ontario/CAN_ON_Red.Lake.AP.718540_TMYx.2004-2018.zip</v>
      </c>
    </row>
    <row r="2912" spans="1:10" x14ac:dyDescent="0.25">
      <c r="A2912" t="s">
        <v>6</v>
      </c>
      <c r="B2912" t="s">
        <v>130</v>
      </c>
      <c r="C2912" t="s">
        <v>1461</v>
      </c>
      <c r="D2912">
        <v>718540</v>
      </c>
      <c r="E2912" t="s">
        <v>10</v>
      </c>
      <c r="F2912">
        <v>51.066899999999997</v>
      </c>
      <c r="G2912">
        <v>-93.793099999999995</v>
      </c>
      <c r="H2912">
        <v>-6</v>
      </c>
      <c r="I2912">
        <v>385.9</v>
      </c>
      <c r="J2912" t="str">
        <f>HYPERLINK("https://climate.onebuilding.org/WMO_Region_4_North_and_Central_America/CAN_Canada/ON_Ontario/CAN_ON_Red.Lake.AP.718540_TMYx.2007-2021.zip")</f>
        <v>https://climate.onebuilding.org/WMO_Region_4_North_and_Central_America/CAN_Canada/ON_Ontario/CAN_ON_Red.Lake.AP.718540_TMYx.2007-2021.zip</v>
      </c>
    </row>
    <row r="2913" spans="1:10" x14ac:dyDescent="0.25">
      <c r="A2913" t="s">
        <v>6</v>
      </c>
      <c r="B2913" t="s">
        <v>130</v>
      </c>
      <c r="C2913" t="s">
        <v>1461</v>
      </c>
      <c r="D2913">
        <v>718540</v>
      </c>
      <c r="E2913" t="s">
        <v>10</v>
      </c>
      <c r="F2913">
        <v>51.066899999999997</v>
      </c>
      <c r="G2913">
        <v>-93.793099999999995</v>
      </c>
      <c r="H2913">
        <v>-6</v>
      </c>
      <c r="I2913">
        <v>385.9</v>
      </c>
      <c r="J2913" t="str">
        <f>HYPERLINK("https://climate.onebuilding.org/WMO_Region_4_North_and_Central_America/CAN_Canada/ON_Ontario/CAN_ON_Red.Lake.AP.718540_TMYx.2009-2023.zip")</f>
        <v>https://climate.onebuilding.org/WMO_Region_4_North_and_Central_America/CAN_Canada/ON_Ontario/CAN_ON_Red.Lake.AP.718540_TMYx.2009-2023.zip</v>
      </c>
    </row>
    <row r="2914" spans="1:10" x14ac:dyDescent="0.25">
      <c r="A2914" t="s">
        <v>6</v>
      </c>
      <c r="B2914" t="s">
        <v>130</v>
      </c>
      <c r="C2914" t="s">
        <v>1461</v>
      </c>
      <c r="D2914">
        <v>718540</v>
      </c>
      <c r="E2914" t="s">
        <v>10</v>
      </c>
      <c r="F2914">
        <v>51.066899999999997</v>
      </c>
      <c r="G2914">
        <v>-93.793099999999995</v>
      </c>
      <c r="H2914">
        <v>-6</v>
      </c>
      <c r="I2914">
        <v>385.9</v>
      </c>
      <c r="J2914" t="str">
        <f>HYPERLINK("https://climate.onebuilding.org/WMO_Region_4_North_and_Central_America/CAN_Canada/ON_Ontario/CAN_ON_Red.Lake.AP.718540_TMYx.zip")</f>
        <v>https://climate.onebuilding.org/WMO_Region_4_North_and_Central_America/CAN_Canada/ON_Ontario/CAN_ON_Red.Lake.AP.718540_TMYx.zip</v>
      </c>
    </row>
    <row r="2915" spans="1:10" x14ac:dyDescent="0.25">
      <c r="A2915" t="s">
        <v>6</v>
      </c>
      <c r="B2915" t="s">
        <v>130</v>
      </c>
      <c r="C2915" t="s">
        <v>1463</v>
      </c>
      <c r="D2915">
        <v>718550</v>
      </c>
      <c r="E2915" t="s">
        <v>10</v>
      </c>
      <c r="F2915">
        <v>49.660159999999998</v>
      </c>
      <c r="G2915">
        <v>-93.727760000000004</v>
      </c>
      <c r="H2915">
        <v>-6</v>
      </c>
      <c r="I2915">
        <v>435</v>
      </c>
      <c r="J2915" t="str">
        <f>HYPERLINK("https://climate.onebuilding.org/WMO_Region_4_North_and_Central_America/CAN_Canada/ON_Ontario/CAN_ON_Rawson.Lake-ELA.Field.Stn.718550_TMYx.2007-2021.zip")</f>
        <v>https://climate.onebuilding.org/WMO_Region_4_North_and_Central_America/CAN_Canada/ON_Ontario/CAN_ON_Rawson.Lake-ELA.Field.Stn.718550_TMYx.2007-2021.zip</v>
      </c>
    </row>
    <row r="2916" spans="1:10" x14ac:dyDescent="0.25">
      <c r="A2916" t="s">
        <v>6</v>
      </c>
      <c r="B2916" t="s">
        <v>130</v>
      </c>
      <c r="C2916" t="s">
        <v>1463</v>
      </c>
      <c r="D2916">
        <v>718550</v>
      </c>
      <c r="E2916" t="s">
        <v>10</v>
      </c>
      <c r="F2916">
        <v>49.660159999999998</v>
      </c>
      <c r="G2916">
        <v>-93.727760000000004</v>
      </c>
      <c r="H2916">
        <v>-6</v>
      </c>
      <c r="I2916">
        <v>435</v>
      </c>
      <c r="J2916" t="str">
        <f>HYPERLINK("https://climate.onebuilding.org/WMO_Region_4_North_and_Central_America/CAN_Canada/ON_Ontario/CAN_ON_Rawson.Lake-ELA.Field.Stn.718550_TMYx.2009-2023.zip")</f>
        <v>https://climate.onebuilding.org/WMO_Region_4_North_and_Central_America/CAN_Canada/ON_Ontario/CAN_ON_Rawson.Lake-ELA.Field.Stn.718550_TMYx.2009-2023.zip</v>
      </c>
    </row>
    <row r="2917" spans="1:10" x14ac:dyDescent="0.25">
      <c r="A2917" t="s">
        <v>6</v>
      </c>
      <c r="B2917" t="s">
        <v>130</v>
      </c>
      <c r="C2917" t="s">
        <v>1463</v>
      </c>
      <c r="D2917">
        <v>718550</v>
      </c>
      <c r="E2917" t="s">
        <v>10</v>
      </c>
      <c r="F2917">
        <v>49.660159999999998</v>
      </c>
      <c r="G2917">
        <v>-93.727760000000004</v>
      </c>
      <c r="H2917">
        <v>-6</v>
      </c>
      <c r="I2917">
        <v>435</v>
      </c>
      <c r="J2917" t="str">
        <f>HYPERLINK("https://climate.onebuilding.org/WMO_Region_4_North_and_Central_America/CAN_Canada/ON_Ontario/CAN_ON_Rawson.Lake-ELA.Field.Stn.718550_TMYx.zip")</f>
        <v>https://climate.onebuilding.org/WMO_Region_4_North_and_Central_America/CAN_Canada/ON_Ontario/CAN_ON_Rawson.Lake-ELA.Field.Stn.718550_TMYx.zip</v>
      </c>
    </row>
    <row r="2918" spans="1:10" x14ac:dyDescent="0.25">
      <c r="A2918" t="s">
        <v>6</v>
      </c>
      <c r="B2918" t="s">
        <v>17</v>
      </c>
      <c r="C2918" t="s">
        <v>1464</v>
      </c>
      <c r="D2918">
        <v>718570</v>
      </c>
      <c r="E2918" t="s">
        <v>1465</v>
      </c>
      <c r="F2918">
        <v>53.65</v>
      </c>
      <c r="G2918">
        <v>-110.06699999999999</v>
      </c>
      <c r="H2918">
        <v>-7</v>
      </c>
      <c r="I2918">
        <v>596</v>
      </c>
      <c r="J2918" t="str">
        <f>HYPERLINK("https://climate.onebuilding.org/WMO_Region_4_North_and_Central_America/CAN_Canada/AB_Alberta/CAN_AB_Tulliby.Lake.AgCM.718570_TMYx.2004-2018.zip")</f>
        <v>https://climate.onebuilding.org/WMO_Region_4_North_and_Central_America/CAN_Canada/AB_Alberta/CAN_AB_Tulliby.Lake.AgCM.718570_TMYx.2004-2018.zip</v>
      </c>
    </row>
    <row r="2919" spans="1:10" x14ac:dyDescent="0.25">
      <c r="A2919" t="s">
        <v>6</v>
      </c>
      <c r="B2919" t="s">
        <v>17</v>
      </c>
      <c r="C2919" t="s">
        <v>1464</v>
      </c>
      <c r="D2919">
        <v>718570</v>
      </c>
      <c r="E2919" t="s">
        <v>10</v>
      </c>
      <c r="F2919">
        <v>53.664400000000001</v>
      </c>
      <c r="G2919">
        <v>-110.081</v>
      </c>
      <c r="H2919">
        <v>-7</v>
      </c>
      <c r="I2919">
        <v>596</v>
      </c>
      <c r="J2919" t="str">
        <f>HYPERLINK("https://climate.onebuilding.org/WMO_Region_4_North_and_Central_America/CAN_Canada/AB_Alberta/CAN_AB_Tulliby.Lake.AgCM.718570_TMYx.2007-2021.zip")</f>
        <v>https://climate.onebuilding.org/WMO_Region_4_North_and_Central_America/CAN_Canada/AB_Alberta/CAN_AB_Tulliby.Lake.AgCM.718570_TMYx.2007-2021.zip</v>
      </c>
    </row>
    <row r="2920" spans="1:10" x14ac:dyDescent="0.25">
      <c r="A2920" t="s">
        <v>6</v>
      </c>
      <c r="B2920" t="s">
        <v>17</v>
      </c>
      <c r="C2920" t="s">
        <v>1464</v>
      </c>
      <c r="D2920">
        <v>718570</v>
      </c>
      <c r="E2920" t="s">
        <v>10</v>
      </c>
      <c r="F2920">
        <v>53.664400000000001</v>
      </c>
      <c r="G2920">
        <v>-110.081</v>
      </c>
      <c r="H2920">
        <v>-7</v>
      </c>
      <c r="I2920">
        <v>596</v>
      </c>
      <c r="J2920" t="str">
        <f>HYPERLINK("https://climate.onebuilding.org/WMO_Region_4_North_and_Central_America/CAN_Canada/AB_Alberta/CAN_AB_Tulliby.Lake.AgCM.718570_TMYx.2009-2023.zip")</f>
        <v>https://climate.onebuilding.org/WMO_Region_4_North_and_Central_America/CAN_Canada/AB_Alberta/CAN_AB_Tulliby.Lake.AgCM.718570_TMYx.2009-2023.zip</v>
      </c>
    </row>
    <row r="2921" spans="1:10" x14ac:dyDescent="0.25">
      <c r="A2921" t="s">
        <v>6</v>
      </c>
      <c r="B2921" t="s">
        <v>17</v>
      </c>
      <c r="C2921" t="s">
        <v>1464</v>
      </c>
      <c r="D2921">
        <v>718570</v>
      </c>
      <c r="E2921" t="s">
        <v>10</v>
      </c>
      <c r="F2921">
        <v>53.664400000000001</v>
      </c>
      <c r="G2921">
        <v>-110.081</v>
      </c>
      <c r="H2921">
        <v>-7</v>
      </c>
      <c r="I2921">
        <v>596</v>
      </c>
      <c r="J2921" t="str">
        <f>HYPERLINK("https://climate.onebuilding.org/WMO_Region_4_North_and_Central_America/CAN_Canada/AB_Alberta/CAN_AB_Tulliby.Lake.AgCM.718570_TMYx.zip")</f>
        <v>https://climate.onebuilding.org/WMO_Region_4_North_and_Central_America/CAN_Canada/AB_Alberta/CAN_AB_Tulliby.Lake.AgCM.718570_TMYx.zip</v>
      </c>
    </row>
    <row r="2922" spans="1:10" x14ac:dyDescent="0.25">
      <c r="A2922" t="s">
        <v>6</v>
      </c>
      <c r="B2922" t="s">
        <v>94</v>
      </c>
      <c r="C2922" t="s">
        <v>1466</v>
      </c>
      <c r="D2922">
        <v>718571</v>
      </c>
      <c r="E2922" t="s">
        <v>10</v>
      </c>
      <c r="F2922">
        <v>54.909930000000003</v>
      </c>
      <c r="G2922">
        <v>-98.626090000000005</v>
      </c>
      <c r="H2922">
        <v>-6</v>
      </c>
      <c r="I2922">
        <v>233</v>
      </c>
      <c r="J2922" t="str">
        <f>HYPERLINK("https://climate.onebuilding.org/WMO_Region_4_North_and_Central_America/CAN_Canada/MB_Manitoba/CAN_MB_Wabowden.718571_TMYx.zip")</f>
        <v>https://climate.onebuilding.org/WMO_Region_4_North_and_Central_America/CAN_Canada/MB_Manitoba/CAN_MB_Wabowden.718571_TMYx.zip</v>
      </c>
    </row>
    <row r="2923" spans="1:10" x14ac:dyDescent="0.25">
      <c r="A2923" t="s">
        <v>6</v>
      </c>
      <c r="B2923" t="s">
        <v>94</v>
      </c>
      <c r="C2923" t="s">
        <v>1467</v>
      </c>
      <c r="D2923">
        <v>718580</v>
      </c>
      <c r="E2923" t="s">
        <v>1468</v>
      </c>
      <c r="F2923">
        <v>53.186399999999999</v>
      </c>
      <c r="G2923">
        <v>-99.267799999999994</v>
      </c>
      <c r="H2923">
        <v>-6</v>
      </c>
      <c r="I2923">
        <v>222.5</v>
      </c>
      <c r="J2923" t="str">
        <f>HYPERLINK("https://climate.onebuilding.org/WMO_Region_4_North_and_Central_America/CAN_Canada/MB_Manitoba/CAN_MB_Grand.Rapids.718580_TMYx.2004-2018.zip")</f>
        <v>https://climate.onebuilding.org/WMO_Region_4_North_and_Central_America/CAN_Canada/MB_Manitoba/CAN_MB_Grand.Rapids.718580_TMYx.2004-2018.zip</v>
      </c>
    </row>
    <row r="2924" spans="1:10" x14ac:dyDescent="0.25">
      <c r="A2924" t="s">
        <v>6</v>
      </c>
      <c r="B2924" t="s">
        <v>94</v>
      </c>
      <c r="C2924" t="s">
        <v>1467</v>
      </c>
      <c r="D2924">
        <v>718580</v>
      </c>
      <c r="E2924" t="s">
        <v>10</v>
      </c>
      <c r="F2924">
        <v>53.183329999999998</v>
      </c>
      <c r="G2924">
        <v>-99.266670000000005</v>
      </c>
      <c r="H2924">
        <v>-6</v>
      </c>
      <c r="I2924">
        <v>222.5</v>
      </c>
      <c r="J2924" t="str">
        <f>HYPERLINK("https://climate.onebuilding.org/WMO_Region_4_North_and_Central_America/CAN_Canada/MB_Manitoba/CAN_MB_Grand.Rapids.718580_TMYx.2007-2021.zip")</f>
        <v>https://climate.onebuilding.org/WMO_Region_4_North_and_Central_America/CAN_Canada/MB_Manitoba/CAN_MB_Grand.Rapids.718580_TMYx.2007-2021.zip</v>
      </c>
    </row>
    <row r="2925" spans="1:10" x14ac:dyDescent="0.25">
      <c r="A2925" t="s">
        <v>6</v>
      </c>
      <c r="B2925" t="s">
        <v>94</v>
      </c>
      <c r="C2925" t="s">
        <v>1467</v>
      </c>
      <c r="D2925">
        <v>718580</v>
      </c>
      <c r="E2925" t="s">
        <v>10</v>
      </c>
      <c r="F2925">
        <v>53.183329999999998</v>
      </c>
      <c r="G2925">
        <v>-99.266670000000005</v>
      </c>
      <c r="H2925">
        <v>-6</v>
      </c>
      <c r="I2925">
        <v>222.5</v>
      </c>
      <c r="J2925" t="str">
        <f>HYPERLINK("https://climate.onebuilding.org/WMO_Region_4_North_and_Central_America/CAN_Canada/MB_Manitoba/CAN_MB_Grand.Rapids.718580_TMYx.2009-2023.zip")</f>
        <v>https://climate.onebuilding.org/WMO_Region_4_North_and_Central_America/CAN_Canada/MB_Manitoba/CAN_MB_Grand.Rapids.718580_TMYx.2009-2023.zip</v>
      </c>
    </row>
    <row r="2926" spans="1:10" x14ac:dyDescent="0.25">
      <c r="A2926" t="s">
        <v>6</v>
      </c>
      <c r="B2926" t="s">
        <v>94</v>
      </c>
      <c r="C2926" t="s">
        <v>1467</v>
      </c>
      <c r="D2926">
        <v>718580</v>
      </c>
      <c r="E2926" t="s">
        <v>10</v>
      </c>
      <c r="F2926">
        <v>53.183329999999998</v>
      </c>
      <c r="G2926">
        <v>-99.266670000000005</v>
      </c>
      <c r="H2926">
        <v>-6</v>
      </c>
      <c r="I2926">
        <v>222.5</v>
      </c>
      <c r="J2926" t="str">
        <f>HYPERLINK("https://climate.onebuilding.org/WMO_Region_4_North_and_Central_America/CAN_Canada/MB_Manitoba/CAN_MB_Grand.Rapids.718580_TMYx.zip")</f>
        <v>https://climate.onebuilding.org/WMO_Region_4_North_and_Central_America/CAN_Canada/MB_Manitoba/CAN_MB_Grand.Rapids.718580_TMYx.zip</v>
      </c>
    </row>
    <row r="2927" spans="1:10" x14ac:dyDescent="0.25">
      <c r="A2927" t="s">
        <v>6</v>
      </c>
      <c r="B2927" t="s">
        <v>17</v>
      </c>
      <c r="C2927" t="s">
        <v>1469</v>
      </c>
      <c r="D2927">
        <v>718600</v>
      </c>
      <c r="E2927" t="s">
        <v>1470</v>
      </c>
      <c r="F2927">
        <v>51.103099999999998</v>
      </c>
      <c r="G2927">
        <v>-114.37439999999999</v>
      </c>
      <c r="H2927">
        <v>-7</v>
      </c>
      <c r="I2927">
        <v>1200.9000000000001</v>
      </c>
      <c r="J2927" t="str">
        <f>HYPERLINK("https://climate.onebuilding.org/WMO_Region_4_North_and_Central_America/CAN_Canada/AB_Alberta/CAN_AB_Calgary-Springbank.AP.718600_TMYx.2004-2018.zip")</f>
        <v>https://climate.onebuilding.org/WMO_Region_4_North_and_Central_America/CAN_Canada/AB_Alberta/CAN_AB_Calgary-Springbank.AP.718600_TMYx.2004-2018.zip</v>
      </c>
    </row>
    <row r="2928" spans="1:10" x14ac:dyDescent="0.25">
      <c r="A2928" t="s">
        <v>6</v>
      </c>
      <c r="B2928" t="s">
        <v>17</v>
      </c>
      <c r="C2928" t="s">
        <v>1469</v>
      </c>
      <c r="D2928">
        <v>718600</v>
      </c>
      <c r="E2928" t="s">
        <v>10</v>
      </c>
      <c r="F2928">
        <v>51.103099999999998</v>
      </c>
      <c r="G2928">
        <v>-114.37439999999999</v>
      </c>
      <c r="H2928">
        <v>-7</v>
      </c>
      <c r="I2928">
        <v>1200.9000000000001</v>
      </c>
      <c r="J2928" t="str">
        <f>HYPERLINK("https://climate.onebuilding.org/WMO_Region_4_North_and_Central_America/CAN_Canada/AB_Alberta/CAN_AB_Calgary-Springbank.AP.718600_TMYx.2007-2021.zip")</f>
        <v>https://climate.onebuilding.org/WMO_Region_4_North_and_Central_America/CAN_Canada/AB_Alberta/CAN_AB_Calgary-Springbank.AP.718600_TMYx.2007-2021.zip</v>
      </c>
    </row>
    <row r="2929" spans="1:10" x14ac:dyDescent="0.25">
      <c r="A2929" t="s">
        <v>6</v>
      </c>
      <c r="B2929" t="s">
        <v>17</v>
      </c>
      <c r="C2929" t="s">
        <v>1469</v>
      </c>
      <c r="D2929">
        <v>718600</v>
      </c>
      <c r="E2929" t="s">
        <v>10</v>
      </c>
      <c r="F2929">
        <v>51.103099999999998</v>
      </c>
      <c r="G2929">
        <v>-114.37439999999999</v>
      </c>
      <c r="H2929">
        <v>-7</v>
      </c>
      <c r="I2929">
        <v>1200.9000000000001</v>
      </c>
      <c r="J2929" t="str">
        <f>HYPERLINK("https://climate.onebuilding.org/WMO_Region_4_North_and_Central_America/CAN_Canada/AB_Alberta/CAN_AB_Calgary-Springbank.AP.718600_TMYx.2009-2023.zip")</f>
        <v>https://climate.onebuilding.org/WMO_Region_4_North_and_Central_America/CAN_Canada/AB_Alberta/CAN_AB_Calgary-Springbank.AP.718600_TMYx.2009-2023.zip</v>
      </c>
    </row>
    <row r="2930" spans="1:10" x14ac:dyDescent="0.25">
      <c r="A2930" t="s">
        <v>6</v>
      </c>
      <c r="B2930" t="s">
        <v>17</v>
      </c>
      <c r="C2930" t="s">
        <v>1469</v>
      </c>
      <c r="D2930">
        <v>718600</v>
      </c>
      <c r="E2930" t="s">
        <v>10</v>
      </c>
      <c r="F2930">
        <v>51.103099999999998</v>
      </c>
      <c r="G2930">
        <v>-114.37439999999999</v>
      </c>
      <c r="H2930">
        <v>-7</v>
      </c>
      <c r="I2930">
        <v>1200.9000000000001</v>
      </c>
      <c r="J2930" t="str">
        <f>HYPERLINK("https://climate.onebuilding.org/WMO_Region_4_North_and_Central_America/CAN_Canada/AB_Alberta/CAN_AB_Calgary-Springbank.AP.718600_TMYx.zip")</f>
        <v>https://climate.onebuilding.org/WMO_Region_4_North_and_Central_America/CAN_Canada/AB_Alberta/CAN_AB_Calgary-Springbank.AP.718600_TMYx.zip</v>
      </c>
    </row>
    <row r="2931" spans="1:10" x14ac:dyDescent="0.25">
      <c r="A2931" t="s">
        <v>6</v>
      </c>
      <c r="B2931" t="s">
        <v>94</v>
      </c>
      <c r="C2931" t="s">
        <v>1471</v>
      </c>
      <c r="D2931">
        <v>718601</v>
      </c>
      <c r="E2931" t="s">
        <v>10</v>
      </c>
      <c r="F2931">
        <v>50.017000000000003</v>
      </c>
      <c r="G2931">
        <v>-100.31699999999999</v>
      </c>
      <c r="H2931">
        <v>-6</v>
      </c>
      <c r="I2931">
        <v>473</v>
      </c>
      <c r="J2931" t="str">
        <f>HYPERLINK("https://climate.onebuilding.org/WMO_Region_4_North_and_Central_America/CAN_Canada/MB_Manitoba/CAN_MB_Wheatland-Rivers.AP.718601_TMYx.zip")</f>
        <v>https://climate.onebuilding.org/WMO_Region_4_North_and_Central_America/CAN_Canada/MB_Manitoba/CAN_MB_Wheatland-Rivers.AP.718601_TMYx.zip</v>
      </c>
    </row>
    <row r="2932" spans="1:10" x14ac:dyDescent="0.25">
      <c r="A2932" t="s">
        <v>6</v>
      </c>
      <c r="B2932" t="s">
        <v>58</v>
      </c>
      <c r="C2932" t="s">
        <v>1472</v>
      </c>
      <c r="D2932">
        <v>718610</v>
      </c>
      <c r="E2932" t="s">
        <v>1473</v>
      </c>
      <c r="F2932">
        <v>50.368099999999998</v>
      </c>
      <c r="G2932">
        <v>-102.57080000000001</v>
      </c>
      <c r="H2932">
        <v>-6</v>
      </c>
      <c r="I2932">
        <v>599.79999999999995</v>
      </c>
      <c r="J2932" t="str">
        <f>HYPERLINK("https://climate.onebuilding.org/WMO_Region_4_North_and_Central_America/CAN_Canada/SK_Saskatchewan/CAN_SK_Broadview.718610_TMYx.2004-2018.zip")</f>
        <v>https://climate.onebuilding.org/WMO_Region_4_North_and_Central_America/CAN_Canada/SK_Saskatchewan/CAN_SK_Broadview.718610_TMYx.2004-2018.zip</v>
      </c>
    </row>
    <row r="2933" spans="1:10" x14ac:dyDescent="0.25">
      <c r="A2933" t="s">
        <v>6</v>
      </c>
      <c r="B2933" t="s">
        <v>58</v>
      </c>
      <c r="C2933" t="s">
        <v>1472</v>
      </c>
      <c r="D2933">
        <v>718610</v>
      </c>
      <c r="E2933" t="s">
        <v>10</v>
      </c>
      <c r="F2933">
        <v>50.368099999999998</v>
      </c>
      <c r="G2933">
        <v>-102.57080000000001</v>
      </c>
      <c r="H2933">
        <v>-6</v>
      </c>
      <c r="I2933">
        <v>599.79999999999995</v>
      </c>
      <c r="J2933" t="str">
        <f>HYPERLINK("https://climate.onebuilding.org/WMO_Region_4_North_and_Central_America/CAN_Canada/SK_Saskatchewan/CAN_SK_Broadview.718610_TMYx.2007-2021.zip")</f>
        <v>https://climate.onebuilding.org/WMO_Region_4_North_and_Central_America/CAN_Canada/SK_Saskatchewan/CAN_SK_Broadview.718610_TMYx.2007-2021.zip</v>
      </c>
    </row>
    <row r="2934" spans="1:10" x14ac:dyDescent="0.25">
      <c r="A2934" t="s">
        <v>6</v>
      </c>
      <c r="B2934" t="s">
        <v>58</v>
      </c>
      <c r="C2934" t="s">
        <v>1472</v>
      </c>
      <c r="D2934">
        <v>718610</v>
      </c>
      <c r="E2934" t="s">
        <v>10</v>
      </c>
      <c r="F2934">
        <v>50.368099999999998</v>
      </c>
      <c r="G2934">
        <v>-102.57080000000001</v>
      </c>
      <c r="H2934">
        <v>-6</v>
      </c>
      <c r="I2934">
        <v>599.79999999999995</v>
      </c>
      <c r="J2934" t="str">
        <f>HYPERLINK("https://climate.onebuilding.org/WMO_Region_4_North_and_Central_America/CAN_Canada/SK_Saskatchewan/CAN_SK_Broadview.718610_TMYx.2009-2023.zip")</f>
        <v>https://climate.onebuilding.org/WMO_Region_4_North_and_Central_America/CAN_Canada/SK_Saskatchewan/CAN_SK_Broadview.718610_TMYx.2009-2023.zip</v>
      </c>
    </row>
    <row r="2935" spans="1:10" x14ac:dyDescent="0.25">
      <c r="A2935" t="s">
        <v>6</v>
      </c>
      <c r="B2935" t="s">
        <v>58</v>
      </c>
      <c r="C2935" t="s">
        <v>1472</v>
      </c>
      <c r="D2935">
        <v>718610</v>
      </c>
      <c r="E2935" t="s">
        <v>10</v>
      </c>
      <c r="F2935">
        <v>50.368099999999998</v>
      </c>
      <c r="G2935">
        <v>-102.57080000000001</v>
      </c>
      <c r="H2935">
        <v>-6</v>
      </c>
      <c r="I2935">
        <v>599.79999999999995</v>
      </c>
      <c r="J2935" t="str">
        <f>HYPERLINK("https://climate.onebuilding.org/WMO_Region_4_North_and_Central_America/CAN_Canada/SK_Saskatchewan/CAN_SK_Broadview.718610_TMYx.zip")</f>
        <v>https://climate.onebuilding.org/WMO_Region_4_North_and_Central_America/CAN_Canada/SK_Saskatchewan/CAN_SK_Broadview.718610_TMYx.zip</v>
      </c>
    </row>
    <row r="2936" spans="1:10" x14ac:dyDescent="0.25">
      <c r="A2936" t="s">
        <v>6</v>
      </c>
      <c r="B2936" t="s">
        <v>58</v>
      </c>
      <c r="C2936" t="s">
        <v>1474</v>
      </c>
      <c r="D2936">
        <v>718620</v>
      </c>
      <c r="E2936" t="s">
        <v>1475</v>
      </c>
      <c r="F2936">
        <v>49.216700000000003</v>
      </c>
      <c r="G2936">
        <v>-102.9667</v>
      </c>
      <c r="H2936">
        <v>-6</v>
      </c>
      <c r="I2936">
        <v>580.29999999999995</v>
      </c>
      <c r="J2936" t="str">
        <f>HYPERLINK("https://climate.onebuilding.org/WMO_Region_4_North_and_Central_America/CAN_Canada/SK_Saskatchewan/CAN_SK_Estevan.Rgnl.AP.718620_TMYx.2004-2018.zip")</f>
        <v>https://climate.onebuilding.org/WMO_Region_4_North_and_Central_America/CAN_Canada/SK_Saskatchewan/CAN_SK_Estevan.Rgnl.AP.718620_TMYx.2004-2018.zip</v>
      </c>
    </row>
    <row r="2937" spans="1:10" x14ac:dyDescent="0.25">
      <c r="A2937" t="s">
        <v>6</v>
      </c>
      <c r="B2937" t="s">
        <v>58</v>
      </c>
      <c r="C2937" t="s">
        <v>1474</v>
      </c>
      <c r="D2937">
        <v>718620</v>
      </c>
      <c r="E2937" t="s">
        <v>10</v>
      </c>
      <c r="F2937">
        <v>49.204999999999998</v>
      </c>
      <c r="G2937">
        <v>-102.967</v>
      </c>
      <c r="H2937">
        <v>-6</v>
      </c>
      <c r="I2937">
        <v>580.29999999999995</v>
      </c>
      <c r="J2937" t="str">
        <f>HYPERLINK("https://climate.onebuilding.org/WMO_Region_4_North_and_Central_America/CAN_Canada/SK_Saskatchewan/CAN_SK_Estevan.Rgnl.AP.718620_TMYx.2007-2021.zip")</f>
        <v>https://climate.onebuilding.org/WMO_Region_4_North_and_Central_America/CAN_Canada/SK_Saskatchewan/CAN_SK_Estevan.Rgnl.AP.718620_TMYx.2007-2021.zip</v>
      </c>
    </row>
    <row r="2938" spans="1:10" x14ac:dyDescent="0.25">
      <c r="A2938" t="s">
        <v>6</v>
      </c>
      <c r="B2938" t="s">
        <v>58</v>
      </c>
      <c r="C2938" t="s">
        <v>1474</v>
      </c>
      <c r="D2938">
        <v>718620</v>
      </c>
      <c r="E2938" t="s">
        <v>10</v>
      </c>
      <c r="F2938">
        <v>49.204999999999998</v>
      </c>
      <c r="G2938">
        <v>-102.967</v>
      </c>
      <c r="H2938">
        <v>-6</v>
      </c>
      <c r="I2938">
        <v>580.29999999999995</v>
      </c>
      <c r="J2938" t="str">
        <f>HYPERLINK("https://climate.onebuilding.org/WMO_Region_4_North_and_Central_America/CAN_Canada/SK_Saskatchewan/CAN_SK_Estevan.Rgnl.AP.718620_TMYx.2009-2023.zip")</f>
        <v>https://climate.onebuilding.org/WMO_Region_4_North_and_Central_America/CAN_Canada/SK_Saskatchewan/CAN_SK_Estevan.Rgnl.AP.718620_TMYx.2009-2023.zip</v>
      </c>
    </row>
    <row r="2939" spans="1:10" x14ac:dyDescent="0.25">
      <c r="A2939" t="s">
        <v>6</v>
      </c>
      <c r="B2939" t="s">
        <v>58</v>
      </c>
      <c r="C2939" t="s">
        <v>1474</v>
      </c>
      <c r="D2939">
        <v>718620</v>
      </c>
      <c r="E2939" t="s">
        <v>10</v>
      </c>
      <c r="F2939">
        <v>49.204999999999998</v>
      </c>
      <c r="G2939">
        <v>-102.967</v>
      </c>
      <c r="H2939">
        <v>-6</v>
      </c>
      <c r="I2939">
        <v>580.29999999999995</v>
      </c>
      <c r="J2939" t="str">
        <f>HYPERLINK("https://climate.onebuilding.org/WMO_Region_4_North_and_Central_America/CAN_Canada/SK_Saskatchewan/CAN_SK_Estevan.Rgnl.AP.718620_TMYx.zip")</f>
        <v>https://climate.onebuilding.org/WMO_Region_4_North_and_Central_America/CAN_Canada/SK_Saskatchewan/CAN_SK_Estevan.Rgnl.AP.718620_TMYx.zip</v>
      </c>
    </row>
    <row r="2940" spans="1:10" x14ac:dyDescent="0.25">
      <c r="A2940" t="s">
        <v>6</v>
      </c>
      <c r="B2940" t="s">
        <v>58</v>
      </c>
      <c r="C2940" t="s">
        <v>1476</v>
      </c>
      <c r="D2940">
        <v>718630</v>
      </c>
      <c r="E2940" t="s">
        <v>1477</v>
      </c>
      <c r="F2940">
        <v>50.433300000000003</v>
      </c>
      <c r="G2940">
        <v>-104.66670000000001</v>
      </c>
      <c r="H2940">
        <v>-6</v>
      </c>
      <c r="I2940">
        <v>577.6</v>
      </c>
      <c r="J2940" t="str">
        <f>HYPERLINK("https://climate.onebuilding.org/WMO_Region_4_North_and_Central_America/CAN_Canada/SK_Saskatchewan/CAN_SK_Regina.Intl.AP.718630_TMYx.2004-2018.zip")</f>
        <v>https://climate.onebuilding.org/WMO_Region_4_North_and_Central_America/CAN_Canada/SK_Saskatchewan/CAN_SK_Regina.Intl.AP.718630_TMYx.2004-2018.zip</v>
      </c>
    </row>
    <row r="2941" spans="1:10" x14ac:dyDescent="0.25">
      <c r="A2941" t="s">
        <v>6</v>
      </c>
      <c r="B2941" t="s">
        <v>58</v>
      </c>
      <c r="C2941" t="s">
        <v>1476</v>
      </c>
      <c r="D2941">
        <v>718630</v>
      </c>
      <c r="E2941" t="s">
        <v>10</v>
      </c>
      <c r="F2941">
        <v>50.426900000000003</v>
      </c>
      <c r="G2941">
        <v>-104.6703</v>
      </c>
      <c r="H2941">
        <v>-6</v>
      </c>
      <c r="I2941">
        <v>577.6</v>
      </c>
      <c r="J2941" t="str">
        <f>HYPERLINK("https://climate.onebuilding.org/WMO_Region_4_North_and_Central_America/CAN_Canada/SK_Saskatchewan/CAN_SK_Regina.Intl.AP.718630_TMYx.2007-2021.zip")</f>
        <v>https://climate.onebuilding.org/WMO_Region_4_North_and_Central_America/CAN_Canada/SK_Saskatchewan/CAN_SK_Regina.Intl.AP.718630_TMYx.2007-2021.zip</v>
      </c>
    </row>
    <row r="2942" spans="1:10" x14ac:dyDescent="0.25">
      <c r="A2942" t="s">
        <v>6</v>
      </c>
      <c r="B2942" t="s">
        <v>58</v>
      </c>
      <c r="C2942" t="s">
        <v>1476</v>
      </c>
      <c r="D2942">
        <v>718630</v>
      </c>
      <c r="E2942" t="s">
        <v>10</v>
      </c>
      <c r="F2942">
        <v>50.426900000000003</v>
      </c>
      <c r="G2942">
        <v>-104.6703</v>
      </c>
      <c r="H2942">
        <v>-6</v>
      </c>
      <c r="I2942">
        <v>577.6</v>
      </c>
      <c r="J2942" t="str">
        <f>HYPERLINK("https://climate.onebuilding.org/WMO_Region_4_North_and_Central_America/CAN_Canada/SK_Saskatchewan/CAN_SK_Regina.Intl.AP.718630_TMYx.2009-2023.zip")</f>
        <v>https://climate.onebuilding.org/WMO_Region_4_North_and_Central_America/CAN_Canada/SK_Saskatchewan/CAN_SK_Regina.Intl.AP.718630_TMYx.2009-2023.zip</v>
      </c>
    </row>
    <row r="2943" spans="1:10" x14ac:dyDescent="0.25">
      <c r="A2943" t="s">
        <v>6</v>
      </c>
      <c r="B2943" t="s">
        <v>58</v>
      </c>
      <c r="C2943" t="s">
        <v>1476</v>
      </c>
      <c r="D2943">
        <v>718630</v>
      </c>
      <c r="E2943" t="s">
        <v>10</v>
      </c>
      <c r="F2943">
        <v>50.426900000000003</v>
      </c>
      <c r="G2943">
        <v>-104.6703</v>
      </c>
      <c r="H2943">
        <v>-6</v>
      </c>
      <c r="I2943">
        <v>577.6</v>
      </c>
      <c r="J2943" t="str">
        <f>HYPERLINK("https://climate.onebuilding.org/WMO_Region_4_North_and_Central_America/CAN_Canada/SK_Saskatchewan/CAN_SK_Regina.Intl.AP.718630_TMYx.zip")</f>
        <v>https://climate.onebuilding.org/WMO_Region_4_North_and_Central_America/CAN_Canada/SK_Saskatchewan/CAN_SK_Regina.Intl.AP.718630_TMYx.zip</v>
      </c>
    </row>
    <row r="2944" spans="1:10" x14ac:dyDescent="0.25">
      <c r="A2944" t="s">
        <v>6</v>
      </c>
      <c r="B2944" t="s">
        <v>58</v>
      </c>
      <c r="C2944" t="s">
        <v>1478</v>
      </c>
      <c r="D2944">
        <v>718650</v>
      </c>
      <c r="E2944" t="s">
        <v>1479</v>
      </c>
      <c r="F2944">
        <v>51.7667</v>
      </c>
      <c r="G2944">
        <v>-104.2</v>
      </c>
      <c r="H2944">
        <v>-6</v>
      </c>
      <c r="I2944">
        <v>560.1</v>
      </c>
      <c r="J2944" t="str">
        <f>HYPERLINK("https://climate.onebuilding.org/WMO_Region_4_North_and_Central_America/CAN_Canada/SK_Saskatchewan/CAN_SK_Wynyard.718650_TMYx.2004-2018.zip")</f>
        <v>https://climate.onebuilding.org/WMO_Region_4_North_and_Central_America/CAN_Canada/SK_Saskatchewan/CAN_SK_Wynyard.718650_TMYx.2004-2018.zip</v>
      </c>
    </row>
    <row r="2945" spans="1:10" x14ac:dyDescent="0.25">
      <c r="A2945" t="s">
        <v>6</v>
      </c>
      <c r="B2945" t="s">
        <v>58</v>
      </c>
      <c r="C2945" t="s">
        <v>1478</v>
      </c>
      <c r="D2945">
        <v>718650</v>
      </c>
      <c r="E2945" t="s">
        <v>10</v>
      </c>
      <c r="F2945">
        <v>51.7667</v>
      </c>
      <c r="G2945">
        <v>-104.2</v>
      </c>
      <c r="H2945">
        <v>-6</v>
      </c>
      <c r="I2945">
        <v>560.1</v>
      </c>
      <c r="J2945" t="str">
        <f>HYPERLINK("https://climate.onebuilding.org/WMO_Region_4_North_and_Central_America/CAN_Canada/SK_Saskatchewan/CAN_SK_Wynyard.718650_TMYx.2007-2021.zip")</f>
        <v>https://climate.onebuilding.org/WMO_Region_4_North_and_Central_America/CAN_Canada/SK_Saskatchewan/CAN_SK_Wynyard.718650_TMYx.2007-2021.zip</v>
      </c>
    </row>
    <row r="2946" spans="1:10" x14ac:dyDescent="0.25">
      <c r="A2946" t="s">
        <v>6</v>
      </c>
      <c r="B2946" t="s">
        <v>58</v>
      </c>
      <c r="C2946" t="s">
        <v>1478</v>
      </c>
      <c r="D2946">
        <v>718650</v>
      </c>
      <c r="E2946" t="s">
        <v>10</v>
      </c>
      <c r="F2946">
        <v>51.7667</v>
      </c>
      <c r="G2946">
        <v>-104.2</v>
      </c>
      <c r="H2946">
        <v>-6</v>
      </c>
      <c r="I2946">
        <v>560.1</v>
      </c>
      <c r="J2946" t="str">
        <f>HYPERLINK("https://climate.onebuilding.org/WMO_Region_4_North_and_Central_America/CAN_Canada/SK_Saskatchewan/CAN_SK_Wynyard.718650_TMYx.2009-2023.zip")</f>
        <v>https://climate.onebuilding.org/WMO_Region_4_North_and_Central_America/CAN_Canada/SK_Saskatchewan/CAN_SK_Wynyard.718650_TMYx.2009-2023.zip</v>
      </c>
    </row>
    <row r="2947" spans="1:10" x14ac:dyDescent="0.25">
      <c r="A2947" t="s">
        <v>6</v>
      </c>
      <c r="B2947" t="s">
        <v>58</v>
      </c>
      <c r="C2947" t="s">
        <v>1478</v>
      </c>
      <c r="D2947">
        <v>718650</v>
      </c>
      <c r="E2947" t="s">
        <v>10</v>
      </c>
      <c r="F2947">
        <v>51.7667</v>
      </c>
      <c r="G2947">
        <v>-104.2</v>
      </c>
      <c r="H2947">
        <v>-6</v>
      </c>
      <c r="I2947">
        <v>560.1</v>
      </c>
      <c r="J2947" t="str">
        <f>HYPERLINK("https://climate.onebuilding.org/WMO_Region_4_North_and_Central_America/CAN_Canada/SK_Saskatchewan/CAN_SK_Wynyard.718650_TMYx.zip")</f>
        <v>https://climate.onebuilding.org/WMO_Region_4_North_and_Central_America/CAN_Canada/SK_Saskatchewan/CAN_SK_Wynyard.718650_TMYx.zip</v>
      </c>
    </row>
    <row r="2948" spans="1:10" x14ac:dyDescent="0.25">
      <c r="A2948" t="s">
        <v>6</v>
      </c>
      <c r="B2948" t="s">
        <v>58</v>
      </c>
      <c r="C2948" t="s">
        <v>1480</v>
      </c>
      <c r="D2948">
        <v>718660</v>
      </c>
      <c r="E2948" t="s">
        <v>1481</v>
      </c>
      <c r="F2948">
        <v>52.1736</v>
      </c>
      <c r="G2948">
        <v>-106.7189</v>
      </c>
      <c r="H2948">
        <v>-6</v>
      </c>
      <c r="I2948">
        <v>504.1</v>
      </c>
      <c r="J2948" t="str">
        <f>HYPERLINK("https://climate.onebuilding.org/WMO_Region_4_North_and_Central_America/CAN_Canada/SK_Saskatchewan/CAN_SK_Saskatoon-Diefenbaker.Intl.AP.718660_TMYx.2004-2018.zip")</f>
        <v>https://climate.onebuilding.org/WMO_Region_4_North_and_Central_America/CAN_Canada/SK_Saskatchewan/CAN_SK_Saskatoon-Diefenbaker.Intl.AP.718660_TMYx.2004-2018.zip</v>
      </c>
    </row>
    <row r="2949" spans="1:10" x14ac:dyDescent="0.25">
      <c r="A2949" t="s">
        <v>6</v>
      </c>
      <c r="B2949" t="s">
        <v>58</v>
      </c>
      <c r="C2949" t="s">
        <v>1480</v>
      </c>
      <c r="D2949">
        <v>718660</v>
      </c>
      <c r="E2949" t="s">
        <v>10</v>
      </c>
      <c r="F2949">
        <v>52.1736</v>
      </c>
      <c r="G2949">
        <v>-106.7189</v>
      </c>
      <c r="H2949">
        <v>-6</v>
      </c>
      <c r="I2949">
        <v>504.1</v>
      </c>
      <c r="J2949" t="str">
        <f>HYPERLINK("https://climate.onebuilding.org/WMO_Region_4_North_and_Central_America/CAN_Canada/SK_Saskatchewan/CAN_SK_Saskatoon-Diefenbaker.Intl.AP.718660_TMYx.2007-2021.zip")</f>
        <v>https://climate.onebuilding.org/WMO_Region_4_North_and_Central_America/CAN_Canada/SK_Saskatchewan/CAN_SK_Saskatoon-Diefenbaker.Intl.AP.718660_TMYx.2007-2021.zip</v>
      </c>
    </row>
    <row r="2950" spans="1:10" x14ac:dyDescent="0.25">
      <c r="A2950" t="s">
        <v>6</v>
      </c>
      <c r="B2950" t="s">
        <v>58</v>
      </c>
      <c r="C2950" t="s">
        <v>1480</v>
      </c>
      <c r="D2950">
        <v>718660</v>
      </c>
      <c r="E2950" t="s">
        <v>10</v>
      </c>
      <c r="F2950">
        <v>52.1736</v>
      </c>
      <c r="G2950">
        <v>-106.7189</v>
      </c>
      <c r="H2950">
        <v>-6</v>
      </c>
      <c r="I2950">
        <v>504.1</v>
      </c>
      <c r="J2950" t="str">
        <f>HYPERLINK("https://climate.onebuilding.org/WMO_Region_4_North_and_Central_America/CAN_Canada/SK_Saskatchewan/CAN_SK_Saskatoon-Diefenbaker.Intl.AP.718660_TMYx.2009-2023.zip")</f>
        <v>https://climate.onebuilding.org/WMO_Region_4_North_and_Central_America/CAN_Canada/SK_Saskatchewan/CAN_SK_Saskatoon-Diefenbaker.Intl.AP.718660_TMYx.2009-2023.zip</v>
      </c>
    </row>
    <row r="2951" spans="1:10" x14ac:dyDescent="0.25">
      <c r="A2951" t="s">
        <v>6</v>
      </c>
      <c r="B2951" t="s">
        <v>58</v>
      </c>
      <c r="C2951" t="s">
        <v>1480</v>
      </c>
      <c r="D2951">
        <v>718660</v>
      </c>
      <c r="E2951" t="s">
        <v>10</v>
      </c>
      <c r="F2951">
        <v>52.1736</v>
      </c>
      <c r="G2951">
        <v>-106.7189</v>
      </c>
      <c r="H2951">
        <v>-6</v>
      </c>
      <c r="I2951">
        <v>504.1</v>
      </c>
      <c r="J2951" t="str">
        <f>HYPERLINK("https://climate.onebuilding.org/WMO_Region_4_North_and_Central_America/CAN_Canada/SK_Saskatchewan/CAN_SK_Saskatoon-Diefenbaker.Intl.AP.718660_TMYx.zip")</f>
        <v>https://climate.onebuilding.org/WMO_Region_4_North_and_Central_America/CAN_Canada/SK_Saskatchewan/CAN_SK_Saskatoon-Diefenbaker.Intl.AP.718660_TMYx.zip</v>
      </c>
    </row>
    <row r="2952" spans="1:10" x14ac:dyDescent="0.25">
      <c r="A2952" t="s">
        <v>6</v>
      </c>
      <c r="B2952" t="s">
        <v>94</v>
      </c>
      <c r="C2952" t="s">
        <v>1482</v>
      </c>
      <c r="D2952">
        <v>718670</v>
      </c>
      <c r="E2952" t="s">
        <v>1483</v>
      </c>
      <c r="F2952">
        <v>53.966700000000003</v>
      </c>
      <c r="G2952">
        <v>-101.1</v>
      </c>
      <c r="H2952">
        <v>-6</v>
      </c>
      <c r="I2952">
        <v>270.39999999999998</v>
      </c>
      <c r="J2952" t="str">
        <f>HYPERLINK("https://climate.onebuilding.org/WMO_Region_4_North_and_Central_America/CAN_Canada/MB_Manitoba/CAN_MB_The.Pas.AP.718670_TMYx.2004-2018.zip")</f>
        <v>https://climate.onebuilding.org/WMO_Region_4_North_and_Central_America/CAN_Canada/MB_Manitoba/CAN_MB_The.Pas.AP.718670_TMYx.2004-2018.zip</v>
      </c>
    </row>
    <row r="2953" spans="1:10" x14ac:dyDescent="0.25">
      <c r="A2953" t="s">
        <v>6</v>
      </c>
      <c r="B2953" t="s">
        <v>94</v>
      </c>
      <c r="C2953" t="s">
        <v>1482</v>
      </c>
      <c r="D2953">
        <v>718670</v>
      </c>
      <c r="E2953" t="s">
        <v>10</v>
      </c>
      <c r="F2953">
        <v>53.974699999999999</v>
      </c>
      <c r="G2953">
        <v>-101.0889</v>
      </c>
      <c r="H2953">
        <v>-6</v>
      </c>
      <c r="I2953">
        <v>270.39999999999998</v>
      </c>
      <c r="J2953" t="str">
        <f>HYPERLINK("https://climate.onebuilding.org/WMO_Region_4_North_and_Central_America/CAN_Canada/MB_Manitoba/CAN_MB_The.Pas.AP.718670_TMYx.2007-2021.zip")</f>
        <v>https://climate.onebuilding.org/WMO_Region_4_North_and_Central_America/CAN_Canada/MB_Manitoba/CAN_MB_The.Pas.AP.718670_TMYx.2007-2021.zip</v>
      </c>
    </row>
    <row r="2954" spans="1:10" x14ac:dyDescent="0.25">
      <c r="A2954" t="s">
        <v>6</v>
      </c>
      <c r="B2954" t="s">
        <v>94</v>
      </c>
      <c r="C2954" t="s">
        <v>1482</v>
      </c>
      <c r="D2954">
        <v>718670</v>
      </c>
      <c r="E2954" t="s">
        <v>10</v>
      </c>
      <c r="F2954">
        <v>53.974699999999999</v>
      </c>
      <c r="G2954">
        <v>-101.0889</v>
      </c>
      <c r="H2954">
        <v>-6</v>
      </c>
      <c r="I2954">
        <v>270.39999999999998</v>
      </c>
      <c r="J2954" t="str">
        <f>HYPERLINK("https://climate.onebuilding.org/WMO_Region_4_North_and_Central_America/CAN_Canada/MB_Manitoba/CAN_MB_The.Pas.AP.718670_TMYx.2009-2023.zip")</f>
        <v>https://climate.onebuilding.org/WMO_Region_4_North_and_Central_America/CAN_Canada/MB_Manitoba/CAN_MB_The.Pas.AP.718670_TMYx.2009-2023.zip</v>
      </c>
    </row>
    <row r="2955" spans="1:10" x14ac:dyDescent="0.25">
      <c r="A2955" t="s">
        <v>6</v>
      </c>
      <c r="B2955" t="s">
        <v>94</v>
      </c>
      <c r="C2955" t="s">
        <v>1482</v>
      </c>
      <c r="D2955">
        <v>718670</v>
      </c>
      <c r="E2955" t="s">
        <v>10</v>
      </c>
      <c r="F2955">
        <v>53.974699999999999</v>
      </c>
      <c r="G2955">
        <v>-101.0889</v>
      </c>
      <c r="H2955">
        <v>-6</v>
      </c>
      <c r="I2955">
        <v>270.39999999999998</v>
      </c>
      <c r="J2955" t="str">
        <f>HYPERLINK("https://climate.onebuilding.org/WMO_Region_4_North_and_Central_America/CAN_Canada/MB_Manitoba/CAN_MB_The.Pas.AP.718670_TMYx.zip")</f>
        <v>https://climate.onebuilding.org/WMO_Region_4_North_and_Central_America/CAN_Canada/MB_Manitoba/CAN_MB_The.Pas.AP.718670_TMYx.zip</v>
      </c>
    </row>
    <row r="2956" spans="1:10" x14ac:dyDescent="0.25">
      <c r="A2956" t="s">
        <v>6</v>
      </c>
      <c r="B2956" t="s">
        <v>58</v>
      </c>
      <c r="C2956" t="s">
        <v>1484</v>
      </c>
      <c r="D2956">
        <v>718680</v>
      </c>
      <c r="E2956" t="s">
        <v>1485</v>
      </c>
      <c r="F2956">
        <v>52.816699999999997</v>
      </c>
      <c r="G2956">
        <v>-102.3167</v>
      </c>
      <c r="H2956">
        <v>-6</v>
      </c>
      <c r="I2956">
        <v>358.1</v>
      </c>
      <c r="J2956" t="str">
        <f>HYPERLINK("https://climate.onebuilding.org/WMO_Region_4_North_and_Central_America/CAN_Canada/SK_Saskatchewan/CAN_SK_Hudson.Bay.AP.718680_TMYx.2004-2018.zip")</f>
        <v>https://climate.onebuilding.org/WMO_Region_4_North_and_Central_America/CAN_Canada/SK_Saskatchewan/CAN_SK_Hudson.Bay.AP.718680_TMYx.2004-2018.zip</v>
      </c>
    </row>
    <row r="2957" spans="1:10" x14ac:dyDescent="0.25">
      <c r="A2957" t="s">
        <v>6</v>
      </c>
      <c r="B2957" t="s">
        <v>58</v>
      </c>
      <c r="C2957" t="s">
        <v>1484</v>
      </c>
      <c r="D2957">
        <v>718680</v>
      </c>
      <c r="E2957" t="s">
        <v>10</v>
      </c>
      <c r="F2957">
        <v>52.814</v>
      </c>
      <c r="G2957">
        <v>-102.309</v>
      </c>
      <c r="H2957">
        <v>-6</v>
      </c>
      <c r="I2957">
        <v>358.1</v>
      </c>
      <c r="J2957" t="str">
        <f>HYPERLINK("https://climate.onebuilding.org/WMO_Region_4_North_and_Central_America/CAN_Canada/SK_Saskatchewan/CAN_SK_Hudson.Bay.AP.718680_TMYx.2007-2021.zip")</f>
        <v>https://climate.onebuilding.org/WMO_Region_4_North_and_Central_America/CAN_Canada/SK_Saskatchewan/CAN_SK_Hudson.Bay.AP.718680_TMYx.2007-2021.zip</v>
      </c>
    </row>
    <row r="2958" spans="1:10" x14ac:dyDescent="0.25">
      <c r="A2958" t="s">
        <v>6</v>
      </c>
      <c r="B2958" t="s">
        <v>58</v>
      </c>
      <c r="C2958" t="s">
        <v>1484</v>
      </c>
      <c r="D2958">
        <v>718680</v>
      </c>
      <c r="E2958" t="s">
        <v>10</v>
      </c>
      <c r="F2958">
        <v>52.814</v>
      </c>
      <c r="G2958">
        <v>-102.309</v>
      </c>
      <c r="H2958">
        <v>-6</v>
      </c>
      <c r="I2958">
        <v>358.1</v>
      </c>
      <c r="J2958" t="str">
        <f>HYPERLINK("https://climate.onebuilding.org/WMO_Region_4_North_and_Central_America/CAN_Canada/SK_Saskatchewan/CAN_SK_Hudson.Bay.AP.718680_TMYx.2009-2023.zip")</f>
        <v>https://climate.onebuilding.org/WMO_Region_4_North_and_Central_America/CAN_Canada/SK_Saskatchewan/CAN_SK_Hudson.Bay.AP.718680_TMYx.2009-2023.zip</v>
      </c>
    </row>
    <row r="2959" spans="1:10" x14ac:dyDescent="0.25">
      <c r="A2959" t="s">
        <v>6</v>
      </c>
      <c r="B2959" t="s">
        <v>58</v>
      </c>
      <c r="C2959" t="s">
        <v>1484</v>
      </c>
      <c r="D2959">
        <v>718680</v>
      </c>
      <c r="E2959" t="s">
        <v>10</v>
      </c>
      <c r="F2959">
        <v>52.814</v>
      </c>
      <c r="G2959">
        <v>-102.309</v>
      </c>
      <c r="H2959">
        <v>-6</v>
      </c>
      <c r="I2959">
        <v>358.1</v>
      </c>
      <c r="J2959" t="str">
        <f>HYPERLINK("https://climate.onebuilding.org/WMO_Region_4_North_and_Central_America/CAN_Canada/SK_Saskatchewan/CAN_SK_Hudson.Bay.AP.718680_TMYx.zip")</f>
        <v>https://climate.onebuilding.org/WMO_Region_4_North_and_Central_America/CAN_Canada/SK_Saskatchewan/CAN_SK_Hudson.Bay.AP.718680_TMYx.zip</v>
      </c>
    </row>
    <row r="2960" spans="1:10" x14ac:dyDescent="0.25">
      <c r="A2960" t="s">
        <v>6</v>
      </c>
      <c r="B2960" t="s">
        <v>58</v>
      </c>
      <c r="C2960" t="s">
        <v>1486</v>
      </c>
      <c r="D2960">
        <v>718690</v>
      </c>
      <c r="E2960" t="s">
        <v>1487</v>
      </c>
      <c r="F2960">
        <v>53.216700000000003</v>
      </c>
      <c r="G2960">
        <v>-105.66670000000001</v>
      </c>
      <c r="H2960">
        <v>-6</v>
      </c>
      <c r="I2960">
        <v>428.2</v>
      </c>
      <c r="J2960" t="str">
        <f>HYPERLINK("https://climate.onebuilding.org/WMO_Region_4_North_and_Central_America/CAN_Canada/SK_Saskatchewan/CAN_SK_Prince.Albert.AP.718690_TMYx.2004-2018.zip")</f>
        <v>https://climate.onebuilding.org/WMO_Region_4_North_and_Central_America/CAN_Canada/SK_Saskatchewan/CAN_SK_Prince.Albert.AP.718690_TMYx.2004-2018.zip</v>
      </c>
    </row>
    <row r="2961" spans="1:10" x14ac:dyDescent="0.25">
      <c r="A2961" t="s">
        <v>6</v>
      </c>
      <c r="B2961" t="s">
        <v>58</v>
      </c>
      <c r="C2961" t="s">
        <v>1486</v>
      </c>
      <c r="D2961">
        <v>718690</v>
      </c>
      <c r="E2961" t="s">
        <v>10</v>
      </c>
      <c r="F2961">
        <v>53.210299999999997</v>
      </c>
      <c r="G2961">
        <v>-105.6767</v>
      </c>
      <c r="H2961">
        <v>-6</v>
      </c>
      <c r="I2961">
        <v>428.2</v>
      </c>
      <c r="J2961" t="str">
        <f>HYPERLINK("https://climate.onebuilding.org/WMO_Region_4_North_and_Central_America/CAN_Canada/SK_Saskatchewan/CAN_SK_Prince.Albert.AP.718690_TMYx.2007-2021.zip")</f>
        <v>https://climate.onebuilding.org/WMO_Region_4_North_and_Central_America/CAN_Canada/SK_Saskatchewan/CAN_SK_Prince.Albert.AP.718690_TMYx.2007-2021.zip</v>
      </c>
    </row>
    <row r="2962" spans="1:10" x14ac:dyDescent="0.25">
      <c r="A2962" t="s">
        <v>6</v>
      </c>
      <c r="B2962" t="s">
        <v>58</v>
      </c>
      <c r="C2962" t="s">
        <v>1486</v>
      </c>
      <c r="D2962">
        <v>718690</v>
      </c>
      <c r="E2962" t="s">
        <v>10</v>
      </c>
      <c r="F2962">
        <v>53.210299999999997</v>
      </c>
      <c r="G2962">
        <v>-105.6767</v>
      </c>
      <c r="H2962">
        <v>-6</v>
      </c>
      <c r="I2962">
        <v>428.2</v>
      </c>
      <c r="J2962" t="str">
        <f>HYPERLINK("https://climate.onebuilding.org/WMO_Region_4_North_and_Central_America/CAN_Canada/SK_Saskatchewan/CAN_SK_Prince.Albert.AP.718690_TMYx.2009-2023.zip")</f>
        <v>https://climate.onebuilding.org/WMO_Region_4_North_and_Central_America/CAN_Canada/SK_Saskatchewan/CAN_SK_Prince.Albert.AP.718690_TMYx.2009-2023.zip</v>
      </c>
    </row>
    <row r="2963" spans="1:10" x14ac:dyDescent="0.25">
      <c r="A2963" t="s">
        <v>6</v>
      </c>
      <c r="B2963" t="s">
        <v>58</v>
      </c>
      <c r="C2963" t="s">
        <v>1486</v>
      </c>
      <c r="D2963">
        <v>718690</v>
      </c>
      <c r="E2963" t="s">
        <v>10</v>
      </c>
      <c r="F2963">
        <v>53.210299999999997</v>
      </c>
      <c r="G2963">
        <v>-105.6767</v>
      </c>
      <c r="H2963">
        <v>-6</v>
      </c>
      <c r="I2963">
        <v>428.2</v>
      </c>
      <c r="J2963" t="str">
        <f>HYPERLINK("https://climate.onebuilding.org/WMO_Region_4_North_and_Central_America/CAN_Canada/SK_Saskatchewan/CAN_SK_Prince.Albert.AP.718690_TMYx.zip")</f>
        <v>https://climate.onebuilding.org/WMO_Region_4_North_and_Central_America/CAN_Canada/SK_Saskatchewan/CAN_SK_Prince.Albert.AP.718690_TMYx.zip</v>
      </c>
    </row>
    <row r="2964" spans="1:10" x14ac:dyDescent="0.25">
      <c r="A2964" t="s">
        <v>6</v>
      </c>
      <c r="B2964" t="s">
        <v>17</v>
      </c>
      <c r="C2964" t="s">
        <v>1488</v>
      </c>
      <c r="D2964">
        <v>718710</v>
      </c>
      <c r="E2964" t="s">
        <v>1489</v>
      </c>
      <c r="F2964">
        <v>53.309199999999997</v>
      </c>
      <c r="G2964">
        <v>-110.07250000000001</v>
      </c>
      <c r="H2964">
        <v>-7</v>
      </c>
      <c r="I2964">
        <v>668.7</v>
      </c>
      <c r="J2964" t="str">
        <f>HYPERLINK("https://climate.onebuilding.org/WMO_Region_4_North_and_Central_America/CAN_Canada/AB_Alberta/CAN_AB_Lloydminster.AP.718710_TMYx.2004-2018.zip")</f>
        <v>https://climate.onebuilding.org/WMO_Region_4_North_and_Central_America/CAN_Canada/AB_Alberta/CAN_AB_Lloydminster.AP.718710_TMYx.2004-2018.zip</v>
      </c>
    </row>
    <row r="2965" spans="1:10" x14ac:dyDescent="0.25">
      <c r="A2965" t="s">
        <v>6</v>
      </c>
      <c r="B2965" t="s">
        <v>17</v>
      </c>
      <c r="C2965" t="s">
        <v>1488</v>
      </c>
      <c r="D2965">
        <v>718710</v>
      </c>
      <c r="E2965" t="s">
        <v>10</v>
      </c>
      <c r="F2965">
        <v>53.311999999999998</v>
      </c>
      <c r="G2965">
        <v>-110.0744</v>
      </c>
      <c r="H2965">
        <v>-7</v>
      </c>
      <c r="I2965">
        <v>668.7</v>
      </c>
      <c r="J2965" t="str">
        <f>HYPERLINK("https://climate.onebuilding.org/WMO_Region_4_North_and_Central_America/CAN_Canada/AB_Alberta/CAN_AB_Lloydminster.AP.718710_TMYx.2007-2021.zip")</f>
        <v>https://climate.onebuilding.org/WMO_Region_4_North_and_Central_America/CAN_Canada/AB_Alberta/CAN_AB_Lloydminster.AP.718710_TMYx.2007-2021.zip</v>
      </c>
    </row>
    <row r="2966" spans="1:10" x14ac:dyDescent="0.25">
      <c r="A2966" t="s">
        <v>6</v>
      </c>
      <c r="B2966" t="s">
        <v>17</v>
      </c>
      <c r="C2966" t="s">
        <v>1488</v>
      </c>
      <c r="D2966">
        <v>718710</v>
      </c>
      <c r="E2966" t="s">
        <v>10</v>
      </c>
      <c r="F2966">
        <v>53.311999999999998</v>
      </c>
      <c r="G2966">
        <v>-110.0744</v>
      </c>
      <c r="H2966">
        <v>-7</v>
      </c>
      <c r="I2966">
        <v>668.7</v>
      </c>
      <c r="J2966" t="str">
        <f>HYPERLINK("https://climate.onebuilding.org/WMO_Region_4_North_and_Central_America/CAN_Canada/AB_Alberta/CAN_AB_Lloydminster.AP.718710_TMYx.2009-2023.zip")</f>
        <v>https://climate.onebuilding.org/WMO_Region_4_North_and_Central_America/CAN_Canada/AB_Alberta/CAN_AB_Lloydminster.AP.718710_TMYx.2009-2023.zip</v>
      </c>
    </row>
    <row r="2967" spans="1:10" x14ac:dyDescent="0.25">
      <c r="A2967" t="s">
        <v>6</v>
      </c>
      <c r="B2967" t="s">
        <v>17</v>
      </c>
      <c r="C2967" t="s">
        <v>1488</v>
      </c>
      <c r="D2967">
        <v>718710</v>
      </c>
      <c r="E2967" t="s">
        <v>10</v>
      </c>
      <c r="F2967">
        <v>53.311999999999998</v>
      </c>
      <c r="G2967">
        <v>-110.0744</v>
      </c>
      <c r="H2967">
        <v>-7</v>
      </c>
      <c r="I2967">
        <v>668.7</v>
      </c>
      <c r="J2967" t="str">
        <f>HYPERLINK("https://climate.onebuilding.org/WMO_Region_4_North_and_Central_America/CAN_Canada/AB_Alberta/CAN_AB_Lloydminster.AP.718710_TMYx.zip")</f>
        <v>https://climate.onebuilding.org/WMO_Region_4_North_and_Central_America/CAN_Canada/AB_Alberta/CAN_AB_Lloydminster.AP.718710_TMYx.zip</v>
      </c>
    </row>
    <row r="2968" spans="1:10" x14ac:dyDescent="0.25">
      <c r="A2968" t="s">
        <v>6</v>
      </c>
      <c r="B2968" t="s">
        <v>17</v>
      </c>
      <c r="C2968" t="s">
        <v>1490</v>
      </c>
      <c r="D2968">
        <v>718711</v>
      </c>
      <c r="E2968" t="s">
        <v>10</v>
      </c>
      <c r="F2968">
        <v>53.357599999999998</v>
      </c>
      <c r="G2968">
        <v>-110.8249</v>
      </c>
      <c r="H2968">
        <v>-7</v>
      </c>
      <c r="I2968">
        <v>619</v>
      </c>
      <c r="J2968" t="str">
        <f>HYPERLINK("https://climate.onebuilding.org/WMO_Region_4_North_and_Central_America/CAN_Canada/AB_Alberta/CAN_AB_Vermilion.AP.718711_TMYx.zip")</f>
        <v>https://climate.onebuilding.org/WMO_Region_4_North_and_Central_America/CAN_Canada/AB_Alberta/CAN_AB_Vermilion.AP.718711_TMYx.zip</v>
      </c>
    </row>
    <row r="2969" spans="1:10" x14ac:dyDescent="0.25">
      <c r="A2969" t="s">
        <v>6</v>
      </c>
      <c r="B2969" t="s">
        <v>42</v>
      </c>
      <c r="C2969" t="s">
        <v>1491</v>
      </c>
      <c r="D2969">
        <v>718720</v>
      </c>
      <c r="E2969" t="s">
        <v>1492</v>
      </c>
      <c r="F2969">
        <v>81.160799999999995</v>
      </c>
      <c r="G2969">
        <v>-91.816400000000002</v>
      </c>
      <c r="H2969">
        <v>-5</v>
      </c>
      <c r="I2969">
        <v>72</v>
      </c>
      <c r="J2969" t="str">
        <f>HYPERLINK("https://climate.onebuilding.org/WMO_Region_4_North_and_Central_America/CAN_Canada/NU_Nunavut/CAN_NU_Svartevaeg.718720_TMYx.2004-2018.zip")</f>
        <v>https://climate.onebuilding.org/WMO_Region_4_North_and_Central_America/CAN_Canada/NU_Nunavut/CAN_NU_Svartevaeg.718720_TMYx.2004-2018.zip</v>
      </c>
    </row>
    <row r="2970" spans="1:10" x14ac:dyDescent="0.25">
      <c r="A2970" t="s">
        <v>6</v>
      </c>
      <c r="B2970" t="s">
        <v>42</v>
      </c>
      <c r="C2970" t="s">
        <v>1491</v>
      </c>
      <c r="D2970">
        <v>718720</v>
      </c>
      <c r="E2970" t="s">
        <v>10</v>
      </c>
      <c r="F2970">
        <v>81.160799999999995</v>
      </c>
      <c r="G2970">
        <v>-91.816400000000002</v>
      </c>
      <c r="H2970">
        <v>-5</v>
      </c>
      <c r="I2970">
        <v>72</v>
      </c>
      <c r="J2970" t="str">
        <f>HYPERLINK("https://climate.onebuilding.org/WMO_Region_4_North_and_Central_America/CAN_Canada/NU_Nunavut/CAN_NU_Svartevaeg.718720_TMYx.2007-2021.zip")</f>
        <v>https://climate.onebuilding.org/WMO_Region_4_North_and_Central_America/CAN_Canada/NU_Nunavut/CAN_NU_Svartevaeg.718720_TMYx.2007-2021.zip</v>
      </c>
    </row>
    <row r="2971" spans="1:10" x14ac:dyDescent="0.25">
      <c r="A2971" t="s">
        <v>6</v>
      </c>
      <c r="B2971" t="s">
        <v>42</v>
      </c>
      <c r="C2971" t="s">
        <v>1491</v>
      </c>
      <c r="D2971">
        <v>718720</v>
      </c>
      <c r="E2971" t="s">
        <v>10</v>
      </c>
      <c r="F2971">
        <v>81.160799999999995</v>
      </c>
      <c r="G2971">
        <v>-91.816400000000002</v>
      </c>
      <c r="H2971">
        <v>-5</v>
      </c>
      <c r="I2971">
        <v>72</v>
      </c>
      <c r="J2971" t="str">
        <f>HYPERLINK("https://climate.onebuilding.org/WMO_Region_4_North_and_Central_America/CAN_Canada/NU_Nunavut/CAN_NU_Svartevaeg.718720_TMYx.2009-2023.zip")</f>
        <v>https://climate.onebuilding.org/WMO_Region_4_North_and_Central_America/CAN_Canada/NU_Nunavut/CAN_NU_Svartevaeg.718720_TMYx.2009-2023.zip</v>
      </c>
    </row>
    <row r="2972" spans="1:10" x14ac:dyDescent="0.25">
      <c r="A2972" t="s">
        <v>6</v>
      </c>
      <c r="B2972" t="s">
        <v>42</v>
      </c>
      <c r="C2972" t="s">
        <v>1491</v>
      </c>
      <c r="D2972">
        <v>718720</v>
      </c>
      <c r="E2972" t="s">
        <v>10</v>
      </c>
      <c r="F2972">
        <v>81.160799999999995</v>
      </c>
      <c r="G2972">
        <v>-91.816400000000002</v>
      </c>
      <c r="H2972">
        <v>-5</v>
      </c>
      <c r="I2972">
        <v>72</v>
      </c>
      <c r="J2972" t="str">
        <f>HYPERLINK("https://climate.onebuilding.org/WMO_Region_4_North_and_Central_America/CAN_Canada/NU_Nunavut/CAN_NU_Svartevaeg.718720_TMYx.zip")</f>
        <v>https://climate.onebuilding.org/WMO_Region_4_North_and_Central_America/CAN_Canada/NU_Nunavut/CAN_NU_Svartevaeg.718720_TMYx.zip</v>
      </c>
    </row>
    <row r="2973" spans="1:10" x14ac:dyDescent="0.25">
      <c r="A2973" t="s">
        <v>6</v>
      </c>
      <c r="B2973" t="s">
        <v>42</v>
      </c>
      <c r="C2973" t="s">
        <v>1493</v>
      </c>
      <c r="D2973">
        <v>718740</v>
      </c>
      <c r="E2973" t="s">
        <v>1494</v>
      </c>
      <c r="F2973">
        <v>66.837500000000006</v>
      </c>
      <c r="G2973">
        <v>-108.0147</v>
      </c>
      <c r="H2973">
        <v>-7</v>
      </c>
      <c r="I2973">
        <v>5</v>
      </c>
      <c r="J2973" t="str">
        <f>HYPERLINK("https://climate.onebuilding.org/WMO_Region_4_North_and_Central_America/CAN_Canada/NU_Nunavut/CAN_NU_Bathurst.Inlet.718740_TMYx.2004-2018.zip")</f>
        <v>https://climate.onebuilding.org/WMO_Region_4_North_and_Central_America/CAN_Canada/NU_Nunavut/CAN_NU_Bathurst.Inlet.718740_TMYx.2004-2018.zip</v>
      </c>
    </row>
    <row r="2974" spans="1:10" x14ac:dyDescent="0.25">
      <c r="A2974" t="s">
        <v>6</v>
      </c>
      <c r="B2974" t="s">
        <v>42</v>
      </c>
      <c r="C2974" t="s">
        <v>1493</v>
      </c>
      <c r="D2974">
        <v>718740</v>
      </c>
      <c r="E2974" t="s">
        <v>10</v>
      </c>
      <c r="F2974">
        <v>66.837500000000006</v>
      </c>
      <c r="G2974">
        <v>-108.0147</v>
      </c>
      <c r="H2974">
        <v>-7</v>
      </c>
      <c r="I2974">
        <v>5</v>
      </c>
      <c r="J2974" t="str">
        <f>HYPERLINK("https://climate.onebuilding.org/WMO_Region_4_North_and_Central_America/CAN_Canada/NU_Nunavut/CAN_NU_Bathurst.Inlet.718740_TMYx.2007-2021.zip")</f>
        <v>https://climate.onebuilding.org/WMO_Region_4_North_and_Central_America/CAN_Canada/NU_Nunavut/CAN_NU_Bathurst.Inlet.718740_TMYx.2007-2021.zip</v>
      </c>
    </row>
    <row r="2975" spans="1:10" x14ac:dyDescent="0.25">
      <c r="A2975" t="s">
        <v>6</v>
      </c>
      <c r="B2975" t="s">
        <v>42</v>
      </c>
      <c r="C2975" t="s">
        <v>1493</v>
      </c>
      <c r="D2975">
        <v>718740</v>
      </c>
      <c r="E2975" t="s">
        <v>10</v>
      </c>
      <c r="F2975">
        <v>66.837500000000006</v>
      </c>
      <c r="G2975">
        <v>-108.0147</v>
      </c>
      <c r="H2975">
        <v>-7</v>
      </c>
      <c r="I2975">
        <v>5</v>
      </c>
      <c r="J2975" t="str">
        <f>HYPERLINK("https://climate.onebuilding.org/WMO_Region_4_North_and_Central_America/CAN_Canada/NU_Nunavut/CAN_NU_Bathurst.Inlet.718740_TMYx.2009-2023.zip")</f>
        <v>https://climate.onebuilding.org/WMO_Region_4_North_and_Central_America/CAN_Canada/NU_Nunavut/CAN_NU_Bathurst.Inlet.718740_TMYx.2009-2023.zip</v>
      </c>
    </row>
    <row r="2976" spans="1:10" x14ac:dyDescent="0.25">
      <c r="A2976" t="s">
        <v>6</v>
      </c>
      <c r="B2976" t="s">
        <v>42</v>
      </c>
      <c r="C2976" t="s">
        <v>1493</v>
      </c>
      <c r="D2976">
        <v>718740</v>
      </c>
      <c r="E2976" t="s">
        <v>10</v>
      </c>
      <c r="F2976">
        <v>66.837500000000006</v>
      </c>
      <c r="G2976">
        <v>-108.0147</v>
      </c>
      <c r="H2976">
        <v>-7</v>
      </c>
      <c r="I2976">
        <v>5</v>
      </c>
      <c r="J2976" t="str">
        <f>HYPERLINK("https://climate.onebuilding.org/WMO_Region_4_North_and_Central_America/CAN_Canada/NU_Nunavut/CAN_NU_Bathurst.Inlet.718740_TMYx.zip")</f>
        <v>https://climate.onebuilding.org/WMO_Region_4_North_and_Central_America/CAN_Canada/NU_Nunavut/CAN_NU_Bathurst.Inlet.718740_TMYx.zip</v>
      </c>
    </row>
    <row r="2977" spans="1:10" x14ac:dyDescent="0.25">
      <c r="A2977" t="s">
        <v>6</v>
      </c>
      <c r="B2977" t="s">
        <v>58</v>
      </c>
      <c r="C2977" t="s">
        <v>1495</v>
      </c>
      <c r="D2977">
        <v>718760</v>
      </c>
      <c r="E2977" t="s">
        <v>1496</v>
      </c>
      <c r="F2977">
        <v>52.769199999999998</v>
      </c>
      <c r="G2977">
        <v>-108.2436</v>
      </c>
      <c r="H2977">
        <v>-6</v>
      </c>
      <c r="I2977">
        <v>548.29999999999995</v>
      </c>
      <c r="J2977" t="str">
        <f>HYPERLINK("https://climate.onebuilding.org/WMO_Region_4_North_and_Central_America/CAN_Canada/SK_Saskatchewan/CAN_SK_North.Battleford.AP.718760_TMYx.2004-2018.zip")</f>
        <v>https://climate.onebuilding.org/WMO_Region_4_North_and_Central_America/CAN_Canada/SK_Saskatchewan/CAN_SK_North.Battleford.AP.718760_TMYx.2004-2018.zip</v>
      </c>
    </row>
    <row r="2978" spans="1:10" x14ac:dyDescent="0.25">
      <c r="A2978" t="s">
        <v>6</v>
      </c>
      <c r="B2978" t="s">
        <v>58</v>
      </c>
      <c r="C2978" t="s">
        <v>1495</v>
      </c>
      <c r="D2978">
        <v>718760</v>
      </c>
      <c r="E2978" t="s">
        <v>10</v>
      </c>
      <c r="F2978">
        <v>52.769100000000002</v>
      </c>
      <c r="G2978">
        <v>-108.251</v>
      </c>
      <c r="H2978">
        <v>-6</v>
      </c>
      <c r="I2978">
        <v>548.29999999999995</v>
      </c>
      <c r="J2978" t="str">
        <f>HYPERLINK("https://climate.onebuilding.org/WMO_Region_4_North_and_Central_America/CAN_Canada/SK_Saskatchewan/CAN_SK_North.Battleford.AP.718760_TMYx.2007-2021.zip")</f>
        <v>https://climate.onebuilding.org/WMO_Region_4_North_and_Central_America/CAN_Canada/SK_Saskatchewan/CAN_SK_North.Battleford.AP.718760_TMYx.2007-2021.zip</v>
      </c>
    </row>
    <row r="2979" spans="1:10" x14ac:dyDescent="0.25">
      <c r="A2979" t="s">
        <v>6</v>
      </c>
      <c r="B2979" t="s">
        <v>58</v>
      </c>
      <c r="C2979" t="s">
        <v>1495</v>
      </c>
      <c r="D2979">
        <v>718760</v>
      </c>
      <c r="E2979" t="s">
        <v>10</v>
      </c>
      <c r="F2979">
        <v>52.769100000000002</v>
      </c>
      <c r="G2979">
        <v>-108.251</v>
      </c>
      <c r="H2979">
        <v>-6</v>
      </c>
      <c r="I2979">
        <v>548.29999999999995</v>
      </c>
      <c r="J2979" t="str">
        <f>HYPERLINK("https://climate.onebuilding.org/WMO_Region_4_North_and_Central_America/CAN_Canada/SK_Saskatchewan/CAN_SK_North.Battleford.AP.718760_TMYx.2009-2023.zip")</f>
        <v>https://climate.onebuilding.org/WMO_Region_4_North_and_Central_America/CAN_Canada/SK_Saskatchewan/CAN_SK_North.Battleford.AP.718760_TMYx.2009-2023.zip</v>
      </c>
    </row>
    <row r="2980" spans="1:10" x14ac:dyDescent="0.25">
      <c r="A2980" t="s">
        <v>6</v>
      </c>
      <c r="B2980" t="s">
        <v>58</v>
      </c>
      <c r="C2980" t="s">
        <v>1495</v>
      </c>
      <c r="D2980">
        <v>718760</v>
      </c>
      <c r="E2980" t="s">
        <v>10</v>
      </c>
      <c r="F2980">
        <v>52.769100000000002</v>
      </c>
      <c r="G2980">
        <v>-108.251</v>
      </c>
      <c r="H2980">
        <v>-6</v>
      </c>
      <c r="I2980">
        <v>548.29999999999995</v>
      </c>
      <c r="J2980" t="str">
        <f>HYPERLINK("https://climate.onebuilding.org/WMO_Region_4_North_and_Central_America/CAN_Canada/SK_Saskatchewan/CAN_SK_North.Battleford.AP.718760_TMYx.zip")</f>
        <v>https://climate.onebuilding.org/WMO_Region_4_North_and_Central_America/CAN_Canada/SK_Saskatchewan/CAN_SK_North.Battleford.AP.718760_TMYx.zip</v>
      </c>
    </row>
    <row r="2981" spans="1:10" x14ac:dyDescent="0.25">
      <c r="A2981" t="s">
        <v>6</v>
      </c>
      <c r="B2981" t="s">
        <v>17</v>
      </c>
      <c r="C2981" t="s">
        <v>1497</v>
      </c>
      <c r="D2981">
        <v>718770</v>
      </c>
      <c r="E2981" t="s">
        <v>1498</v>
      </c>
      <c r="F2981">
        <v>51.113900000000001</v>
      </c>
      <c r="G2981">
        <v>-114.02030000000001</v>
      </c>
      <c r="H2981">
        <v>-7</v>
      </c>
      <c r="I2981">
        <v>1084.0999999999999</v>
      </c>
      <c r="J2981" t="str">
        <f>HYPERLINK("https://climate.onebuilding.org/WMO_Region_4_North_and_Central_America/CAN_Canada/AB_Alberta/CAN_AB_Calgary.Intl.AP.718770_TMYx.2004-2018.zip")</f>
        <v>https://climate.onebuilding.org/WMO_Region_4_North_and_Central_America/CAN_Canada/AB_Alberta/CAN_AB_Calgary.Intl.AP.718770_TMYx.2004-2018.zip</v>
      </c>
    </row>
    <row r="2982" spans="1:10" x14ac:dyDescent="0.25">
      <c r="A2982" t="s">
        <v>6</v>
      </c>
      <c r="B2982" t="s">
        <v>17</v>
      </c>
      <c r="C2982" t="s">
        <v>1497</v>
      </c>
      <c r="D2982">
        <v>718770</v>
      </c>
      <c r="E2982" t="s">
        <v>10</v>
      </c>
      <c r="F2982">
        <v>51.113900000000001</v>
      </c>
      <c r="G2982">
        <v>-114.02030000000001</v>
      </c>
      <c r="H2982">
        <v>-7</v>
      </c>
      <c r="I2982">
        <v>1084.0999999999999</v>
      </c>
      <c r="J2982" t="str">
        <f>HYPERLINK("https://climate.onebuilding.org/WMO_Region_4_North_and_Central_America/CAN_Canada/AB_Alberta/CAN_AB_Calgary.Intl.AP.718770_TMYx.2007-2021.zip")</f>
        <v>https://climate.onebuilding.org/WMO_Region_4_North_and_Central_America/CAN_Canada/AB_Alberta/CAN_AB_Calgary.Intl.AP.718770_TMYx.2007-2021.zip</v>
      </c>
    </row>
    <row r="2983" spans="1:10" x14ac:dyDescent="0.25">
      <c r="A2983" t="s">
        <v>6</v>
      </c>
      <c r="B2983" t="s">
        <v>17</v>
      </c>
      <c r="C2983" t="s">
        <v>1497</v>
      </c>
      <c r="D2983">
        <v>718770</v>
      </c>
      <c r="E2983" t="s">
        <v>10</v>
      </c>
      <c r="F2983">
        <v>51.113900000000001</v>
      </c>
      <c r="G2983">
        <v>-114.02030000000001</v>
      </c>
      <c r="H2983">
        <v>-7</v>
      </c>
      <c r="I2983">
        <v>1084.0999999999999</v>
      </c>
      <c r="J2983" t="str">
        <f>HYPERLINK("https://climate.onebuilding.org/WMO_Region_4_North_and_Central_America/CAN_Canada/AB_Alberta/CAN_AB_Calgary.Intl.AP.718770_TMYx.2009-2023.zip")</f>
        <v>https://climate.onebuilding.org/WMO_Region_4_North_and_Central_America/CAN_Canada/AB_Alberta/CAN_AB_Calgary.Intl.AP.718770_TMYx.2009-2023.zip</v>
      </c>
    </row>
    <row r="2984" spans="1:10" x14ac:dyDescent="0.25">
      <c r="A2984" t="s">
        <v>6</v>
      </c>
      <c r="B2984" t="s">
        <v>17</v>
      </c>
      <c r="C2984" t="s">
        <v>1497</v>
      </c>
      <c r="D2984">
        <v>718770</v>
      </c>
      <c r="E2984" t="s">
        <v>10</v>
      </c>
      <c r="F2984">
        <v>51.113900000000001</v>
      </c>
      <c r="G2984">
        <v>-114.02030000000001</v>
      </c>
      <c r="H2984">
        <v>-7</v>
      </c>
      <c r="I2984">
        <v>1084.0999999999999</v>
      </c>
      <c r="J2984" t="str">
        <f>HYPERLINK("https://climate.onebuilding.org/WMO_Region_4_North_and_Central_America/CAN_Canada/AB_Alberta/CAN_AB_Calgary.Intl.AP.718770_TMYx.zip")</f>
        <v>https://climate.onebuilding.org/WMO_Region_4_North_and_Central_America/CAN_Canada/AB_Alberta/CAN_AB_Calgary.Intl.AP.718770_TMYx.zip</v>
      </c>
    </row>
    <row r="2985" spans="1:10" x14ac:dyDescent="0.25">
      <c r="A2985" t="s">
        <v>6</v>
      </c>
      <c r="B2985" t="s">
        <v>17</v>
      </c>
      <c r="C2985" t="s">
        <v>1499</v>
      </c>
      <c r="D2985">
        <v>718780</v>
      </c>
      <c r="E2985" t="s">
        <v>1500</v>
      </c>
      <c r="F2985">
        <v>52.178600000000003</v>
      </c>
      <c r="G2985">
        <v>-113.8931</v>
      </c>
      <c r="H2985">
        <v>-7</v>
      </c>
      <c r="I2985">
        <v>904.6</v>
      </c>
      <c r="J2985" t="str">
        <f>HYPERLINK("https://climate.onebuilding.org/WMO_Region_4_North_and_Central_America/CAN_Canada/AB_Alberta/CAN_AB_Red.Deer.Rgnl.AP.718780_TMYx.2004-2018.zip")</f>
        <v>https://climate.onebuilding.org/WMO_Region_4_North_and_Central_America/CAN_Canada/AB_Alberta/CAN_AB_Red.Deer.Rgnl.AP.718780_TMYx.2004-2018.zip</v>
      </c>
    </row>
    <row r="2986" spans="1:10" x14ac:dyDescent="0.25">
      <c r="A2986" t="s">
        <v>6</v>
      </c>
      <c r="B2986" t="s">
        <v>17</v>
      </c>
      <c r="C2986" t="s">
        <v>1499</v>
      </c>
      <c r="D2986">
        <v>718780</v>
      </c>
      <c r="E2986" t="s">
        <v>10</v>
      </c>
      <c r="F2986">
        <v>52.179000000000002</v>
      </c>
      <c r="G2986">
        <v>-113.893</v>
      </c>
      <c r="H2986">
        <v>-7</v>
      </c>
      <c r="I2986">
        <v>904.6</v>
      </c>
      <c r="J2986" t="str">
        <f>HYPERLINK("https://climate.onebuilding.org/WMO_Region_4_North_and_Central_America/CAN_Canada/AB_Alberta/CAN_AB_Red.Deer.Rgnl.AP.718780_TMYx.2007-2021.zip")</f>
        <v>https://climate.onebuilding.org/WMO_Region_4_North_and_Central_America/CAN_Canada/AB_Alberta/CAN_AB_Red.Deer.Rgnl.AP.718780_TMYx.2007-2021.zip</v>
      </c>
    </row>
    <row r="2987" spans="1:10" x14ac:dyDescent="0.25">
      <c r="A2987" t="s">
        <v>6</v>
      </c>
      <c r="B2987" t="s">
        <v>17</v>
      </c>
      <c r="C2987" t="s">
        <v>1499</v>
      </c>
      <c r="D2987">
        <v>718780</v>
      </c>
      <c r="E2987" t="s">
        <v>10</v>
      </c>
      <c r="F2987">
        <v>52.179000000000002</v>
      </c>
      <c r="G2987">
        <v>-113.893</v>
      </c>
      <c r="H2987">
        <v>-7</v>
      </c>
      <c r="I2987">
        <v>904.6</v>
      </c>
      <c r="J2987" t="str">
        <f>HYPERLINK("https://climate.onebuilding.org/WMO_Region_4_North_and_Central_America/CAN_Canada/AB_Alberta/CAN_AB_Red.Deer.Rgnl.AP.718780_TMYx.2009-2023.zip")</f>
        <v>https://climate.onebuilding.org/WMO_Region_4_North_and_Central_America/CAN_Canada/AB_Alberta/CAN_AB_Red.Deer.Rgnl.AP.718780_TMYx.2009-2023.zip</v>
      </c>
    </row>
    <row r="2988" spans="1:10" x14ac:dyDescent="0.25">
      <c r="A2988" t="s">
        <v>6</v>
      </c>
      <c r="B2988" t="s">
        <v>17</v>
      </c>
      <c r="C2988" t="s">
        <v>1499</v>
      </c>
      <c r="D2988">
        <v>718780</v>
      </c>
      <c r="E2988" t="s">
        <v>10</v>
      </c>
      <c r="F2988">
        <v>52.179000000000002</v>
      </c>
      <c r="G2988">
        <v>-113.893</v>
      </c>
      <c r="H2988">
        <v>-7</v>
      </c>
      <c r="I2988">
        <v>904.6</v>
      </c>
      <c r="J2988" t="str">
        <f>HYPERLINK("https://climate.onebuilding.org/WMO_Region_4_North_and_Central_America/CAN_Canada/AB_Alberta/CAN_AB_Red.Deer.Rgnl.AP.718780_TMYx.zip")</f>
        <v>https://climate.onebuilding.org/WMO_Region_4_North_and_Central_America/CAN_Canada/AB_Alberta/CAN_AB_Red.Deer.Rgnl.AP.718780_TMYx.zip</v>
      </c>
    </row>
    <row r="2989" spans="1:10" x14ac:dyDescent="0.25">
      <c r="A2989" t="s">
        <v>6</v>
      </c>
      <c r="B2989" t="s">
        <v>55</v>
      </c>
      <c r="C2989" t="s">
        <v>1501</v>
      </c>
      <c r="D2989">
        <v>718800</v>
      </c>
      <c r="E2989" t="s">
        <v>1502</v>
      </c>
      <c r="F2989">
        <v>49.612200000000001</v>
      </c>
      <c r="G2989">
        <v>-115.78189999999999</v>
      </c>
      <c r="H2989">
        <v>-7</v>
      </c>
      <c r="I2989">
        <v>940</v>
      </c>
      <c r="J2989" t="str">
        <f>HYPERLINK("https://climate.onebuilding.org/WMO_Region_4_North_and_Central_America/CAN_Canada/BC_British_Columbia/CAN_BC_Cranbrook-Canadian.Rockies.Intl.AP.718800_TMYx.2004-2018.zip")</f>
        <v>https://climate.onebuilding.org/WMO_Region_4_North_and_Central_America/CAN_Canada/BC_British_Columbia/CAN_BC_Cranbrook-Canadian.Rockies.Intl.AP.718800_TMYx.2004-2018.zip</v>
      </c>
    </row>
    <row r="2990" spans="1:10" x14ac:dyDescent="0.25">
      <c r="A2990" t="s">
        <v>6</v>
      </c>
      <c r="B2990" t="s">
        <v>55</v>
      </c>
      <c r="C2990" t="s">
        <v>1501</v>
      </c>
      <c r="D2990">
        <v>718800</v>
      </c>
      <c r="E2990" t="s">
        <v>10</v>
      </c>
      <c r="F2990">
        <v>49.6175</v>
      </c>
      <c r="G2990">
        <v>-115.78919999999999</v>
      </c>
      <c r="H2990">
        <v>-7</v>
      </c>
      <c r="I2990">
        <v>940</v>
      </c>
      <c r="J2990" t="str">
        <f>HYPERLINK("https://climate.onebuilding.org/WMO_Region_4_North_and_Central_America/CAN_Canada/BC_British_Columbia/CAN_BC_Cranbrook-Canadian.Rockies.Intl.AP.718800_TMYx.2007-2021.zip")</f>
        <v>https://climate.onebuilding.org/WMO_Region_4_North_and_Central_America/CAN_Canada/BC_British_Columbia/CAN_BC_Cranbrook-Canadian.Rockies.Intl.AP.718800_TMYx.2007-2021.zip</v>
      </c>
    </row>
    <row r="2991" spans="1:10" x14ac:dyDescent="0.25">
      <c r="A2991" t="s">
        <v>6</v>
      </c>
      <c r="B2991" t="s">
        <v>55</v>
      </c>
      <c r="C2991" t="s">
        <v>1501</v>
      </c>
      <c r="D2991">
        <v>718800</v>
      </c>
      <c r="E2991" t="s">
        <v>10</v>
      </c>
      <c r="F2991">
        <v>49.6175</v>
      </c>
      <c r="G2991">
        <v>-115.78919999999999</v>
      </c>
      <c r="H2991">
        <v>-7</v>
      </c>
      <c r="I2991">
        <v>940</v>
      </c>
      <c r="J2991" t="str">
        <f>HYPERLINK("https://climate.onebuilding.org/WMO_Region_4_North_and_Central_America/CAN_Canada/BC_British_Columbia/CAN_BC_Cranbrook-Canadian.Rockies.Intl.AP.718800_TMYx.2009-2023.zip")</f>
        <v>https://climate.onebuilding.org/WMO_Region_4_North_and_Central_America/CAN_Canada/BC_British_Columbia/CAN_BC_Cranbrook-Canadian.Rockies.Intl.AP.718800_TMYx.2009-2023.zip</v>
      </c>
    </row>
    <row r="2992" spans="1:10" x14ac:dyDescent="0.25">
      <c r="A2992" t="s">
        <v>6</v>
      </c>
      <c r="B2992" t="s">
        <v>55</v>
      </c>
      <c r="C2992" t="s">
        <v>1501</v>
      </c>
      <c r="D2992">
        <v>718800</v>
      </c>
      <c r="E2992" t="s">
        <v>10</v>
      </c>
      <c r="F2992">
        <v>49.6175</v>
      </c>
      <c r="G2992">
        <v>-115.78919999999999</v>
      </c>
      <c r="H2992">
        <v>-7</v>
      </c>
      <c r="I2992">
        <v>940</v>
      </c>
      <c r="J2992" t="str">
        <f>HYPERLINK("https://climate.onebuilding.org/WMO_Region_4_North_and_Central_America/CAN_Canada/BC_British_Columbia/CAN_BC_Cranbrook-Canadian.Rockies.Intl.AP.718800_TMYx.zip")</f>
        <v>https://climate.onebuilding.org/WMO_Region_4_North_and_Central_America/CAN_Canada/BC_British_Columbia/CAN_BC_Cranbrook-Canadian.Rockies.Intl.AP.718800_TMYx.zip</v>
      </c>
    </row>
    <row r="2993" spans="1:10" x14ac:dyDescent="0.25">
      <c r="A2993" t="s">
        <v>6</v>
      </c>
      <c r="B2993" t="s">
        <v>17</v>
      </c>
      <c r="C2993" t="s">
        <v>1503</v>
      </c>
      <c r="D2993">
        <v>718810</v>
      </c>
      <c r="E2993" t="s">
        <v>1504</v>
      </c>
      <c r="F2993">
        <v>53.578899999999997</v>
      </c>
      <c r="G2993">
        <v>-116.465</v>
      </c>
      <c r="H2993">
        <v>-7</v>
      </c>
      <c r="I2993">
        <v>926.9</v>
      </c>
      <c r="J2993" t="str">
        <f>HYPERLINK("https://climate.onebuilding.org/WMO_Region_4_North_and_Central_America/CAN_Canada/AB_Alberta/CAN_AB_Edson.AP.718810_TMYx.2004-2018.zip")</f>
        <v>https://climate.onebuilding.org/WMO_Region_4_North_and_Central_America/CAN_Canada/AB_Alberta/CAN_AB_Edson.AP.718810_TMYx.2004-2018.zip</v>
      </c>
    </row>
    <row r="2994" spans="1:10" x14ac:dyDescent="0.25">
      <c r="A2994" t="s">
        <v>6</v>
      </c>
      <c r="B2994" t="s">
        <v>17</v>
      </c>
      <c r="C2994" t="s">
        <v>1503</v>
      </c>
      <c r="D2994">
        <v>718810</v>
      </c>
      <c r="E2994" t="s">
        <v>10</v>
      </c>
      <c r="F2994">
        <v>53.580500000000001</v>
      </c>
      <c r="G2994">
        <v>-116.45350000000001</v>
      </c>
      <c r="H2994">
        <v>-7</v>
      </c>
      <c r="I2994">
        <v>926.9</v>
      </c>
      <c r="J2994" t="str">
        <f>HYPERLINK("https://climate.onebuilding.org/WMO_Region_4_North_and_Central_America/CAN_Canada/AB_Alberta/CAN_AB_Edson.AP.718810_TMYx.2007-2021.zip")</f>
        <v>https://climate.onebuilding.org/WMO_Region_4_North_and_Central_America/CAN_Canada/AB_Alberta/CAN_AB_Edson.AP.718810_TMYx.2007-2021.zip</v>
      </c>
    </row>
    <row r="2995" spans="1:10" x14ac:dyDescent="0.25">
      <c r="A2995" t="s">
        <v>6</v>
      </c>
      <c r="B2995" t="s">
        <v>17</v>
      </c>
      <c r="C2995" t="s">
        <v>1503</v>
      </c>
      <c r="D2995">
        <v>718810</v>
      </c>
      <c r="E2995" t="s">
        <v>10</v>
      </c>
      <c r="F2995">
        <v>53.580500000000001</v>
      </c>
      <c r="G2995">
        <v>-116.45350000000001</v>
      </c>
      <c r="H2995">
        <v>-7</v>
      </c>
      <c r="I2995">
        <v>926.9</v>
      </c>
      <c r="J2995" t="str">
        <f>HYPERLINK("https://climate.onebuilding.org/WMO_Region_4_North_and_Central_America/CAN_Canada/AB_Alberta/CAN_AB_Edson.AP.718810_TMYx.2009-2023.zip")</f>
        <v>https://climate.onebuilding.org/WMO_Region_4_North_and_Central_America/CAN_Canada/AB_Alberta/CAN_AB_Edson.AP.718810_TMYx.2009-2023.zip</v>
      </c>
    </row>
    <row r="2996" spans="1:10" x14ac:dyDescent="0.25">
      <c r="A2996" t="s">
        <v>6</v>
      </c>
      <c r="B2996" t="s">
        <v>17</v>
      </c>
      <c r="C2996" t="s">
        <v>1503</v>
      </c>
      <c r="D2996">
        <v>718810</v>
      </c>
      <c r="E2996" t="s">
        <v>10</v>
      </c>
      <c r="F2996">
        <v>53.580500000000001</v>
      </c>
      <c r="G2996">
        <v>-116.45350000000001</v>
      </c>
      <c r="H2996">
        <v>-7</v>
      </c>
      <c r="I2996">
        <v>926.9</v>
      </c>
      <c r="J2996" t="str">
        <f>HYPERLINK("https://climate.onebuilding.org/WMO_Region_4_North_and_Central_America/CAN_Canada/AB_Alberta/CAN_AB_Edson.AP.718810_TMYx.zip")</f>
        <v>https://climate.onebuilding.org/WMO_Region_4_North_and_Central_America/CAN_Canada/AB_Alberta/CAN_AB_Edson.AP.718810_TMYx.zip</v>
      </c>
    </row>
    <row r="2997" spans="1:10" x14ac:dyDescent="0.25">
      <c r="A2997" t="s">
        <v>6</v>
      </c>
      <c r="B2997" t="s">
        <v>55</v>
      </c>
      <c r="C2997" t="s">
        <v>1505</v>
      </c>
      <c r="D2997">
        <v>718820</v>
      </c>
      <c r="E2997" t="s">
        <v>1506</v>
      </c>
      <c r="F2997">
        <v>50.958300000000001</v>
      </c>
      <c r="G2997">
        <v>-118.1764</v>
      </c>
      <c r="H2997">
        <v>-8</v>
      </c>
      <c r="I2997">
        <v>444.7</v>
      </c>
      <c r="J2997" t="str">
        <f>HYPERLINK("https://climate.onebuilding.org/WMO_Region_4_North_and_Central_America/CAN_Canada/BC_British_Columbia/CAN_BC_Revelstoke.AP.718820_TMYx.2004-2018.zip")</f>
        <v>https://climate.onebuilding.org/WMO_Region_4_North_and_Central_America/CAN_Canada/BC_British_Columbia/CAN_BC_Revelstoke.AP.718820_TMYx.2004-2018.zip</v>
      </c>
    </row>
    <row r="2998" spans="1:10" x14ac:dyDescent="0.25">
      <c r="A2998" t="s">
        <v>6</v>
      </c>
      <c r="B2998" t="s">
        <v>55</v>
      </c>
      <c r="C2998" t="s">
        <v>1505</v>
      </c>
      <c r="D2998">
        <v>718820</v>
      </c>
      <c r="E2998" t="s">
        <v>10</v>
      </c>
      <c r="F2998">
        <v>50.958300000000001</v>
      </c>
      <c r="G2998">
        <v>-118.1764</v>
      </c>
      <c r="H2998">
        <v>-8</v>
      </c>
      <c r="I2998">
        <v>444.7</v>
      </c>
      <c r="J2998" t="str">
        <f>HYPERLINK("https://climate.onebuilding.org/WMO_Region_4_North_and_Central_America/CAN_Canada/BC_British_Columbia/CAN_BC_Revelstoke.AP.718820_TMYx.2007-2021.zip")</f>
        <v>https://climate.onebuilding.org/WMO_Region_4_North_and_Central_America/CAN_Canada/BC_British_Columbia/CAN_BC_Revelstoke.AP.718820_TMYx.2007-2021.zip</v>
      </c>
    </row>
    <row r="2999" spans="1:10" x14ac:dyDescent="0.25">
      <c r="A2999" t="s">
        <v>6</v>
      </c>
      <c r="B2999" t="s">
        <v>55</v>
      </c>
      <c r="C2999" t="s">
        <v>1505</v>
      </c>
      <c r="D2999">
        <v>718820</v>
      </c>
      <c r="E2999" t="s">
        <v>10</v>
      </c>
      <c r="F2999">
        <v>50.958300000000001</v>
      </c>
      <c r="G2999">
        <v>-118.1764</v>
      </c>
      <c r="H2999">
        <v>-8</v>
      </c>
      <c r="I2999">
        <v>444.7</v>
      </c>
      <c r="J2999" t="str">
        <f>HYPERLINK("https://climate.onebuilding.org/WMO_Region_4_North_and_Central_America/CAN_Canada/BC_British_Columbia/CAN_BC_Revelstoke.AP.718820_TMYx.2009-2023.zip")</f>
        <v>https://climate.onebuilding.org/WMO_Region_4_North_and_Central_America/CAN_Canada/BC_British_Columbia/CAN_BC_Revelstoke.AP.718820_TMYx.2009-2023.zip</v>
      </c>
    </row>
    <row r="3000" spans="1:10" x14ac:dyDescent="0.25">
      <c r="A3000" t="s">
        <v>6</v>
      </c>
      <c r="B3000" t="s">
        <v>55</v>
      </c>
      <c r="C3000" t="s">
        <v>1505</v>
      </c>
      <c r="D3000">
        <v>718820</v>
      </c>
      <c r="E3000" t="s">
        <v>10</v>
      </c>
      <c r="F3000">
        <v>50.958300000000001</v>
      </c>
      <c r="G3000">
        <v>-118.1764</v>
      </c>
      <c r="H3000">
        <v>-8</v>
      </c>
      <c r="I3000">
        <v>444.7</v>
      </c>
      <c r="J3000" t="str">
        <f>HYPERLINK("https://climate.onebuilding.org/WMO_Region_4_North_and_Central_America/CAN_Canada/BC_British_Columbia/CAN_BC_Revelstoke.AP.718820_TMYx.zip")</f>
        <v>https://climate.onebuilding.org/WMO_Region_4_North_and_Central_America/CAN_Canada/BC_British_Columbia/CAN_BC_Revelstoke.AP.718820_TMYx.zip</v>
      </c>
    </row>
    <row r="3001" spans="1:10" x14ac:dyDescent="0.25">
      <c r="A3001" t="s">
        <v>6</v>
      </c>
      <c r="B3001" t="s">
        <v>55</v>
      </c>
      <c r="C3001" t="s">
        <v>1507</v>
      </c>
      <c r="D3001">
        <v>718830</v>
      </c>
      <c r="E3001" t="s">
        <v>1508</v>
      </c>
      <c r="F3001">
        <v>52.116999999999997</v>
      </c>
      <c r="G3001">
        <v>-119.283</v>
      </c>
      <c r="H3001">
        <v>-8</v>
      </c>
      <c r="I3001">
        <v>682.8</v>
      </c>
      <c r="J3001" t="str">
        <f>HYPERLINK("https://climate.onebuilding.org/WMO_Region_4_North_and_Central_America/CAN_Canada/BC_British_Columbia/CAN_BC_Blue.River.CS.718830_TMYx.2004-2018.zip")</f>
        <v>https://climate.onebuilding.org/WMO_Region_4_North_and_Central_America/CAN_Canada/BC_British_Columbia/CAN_BC_Blue.River.CS.718830_TMYx.2004-2018.zip</v>
      </c>
    </row>
    <row r="3002" spans="1:10" x14ac:dyDescent="0.25">
      <c r="A3002" t="s">
        <v>6</v>
      </c>
      <c r="B3002" t="s">
        <v>55</v>
      </c>
      <c r="C3002" t="s">
        <v>1507</v>
      </c>
      <c r="D3002">
        <v>718830</v>
      </c>
      <c r="E3002" t="s">
        <v>10</v>
      </c>
      <c r="F3002">
        <v>52.128999999999998</v>
      </c>
      <c r="G3002">
        <v>-119.2898</v>
      </c>
      <c r="H3002">
        <v>-8</v>
      </c>
      <c r="I3002">
        <v>682.8</v>
      </c>
      <c r="J3002" t="str">
        <f>HYPERLINK("https://climate.onebuilding.org/WMO_Region_4_North_and_Central_America/CAN_Canada/BC_British_Columbia/CAN_BC_Blue.River.CS.718830_TMYx.2007-2021.zip")</f>
        <v>https://climate.onebuilding.org/WMO_Region_4_North_and_Central_America/CAN_Canada/BC_British_Columbia/CAN_BC_Blue.River.CS.718830_TMYx.2007-2021.zip</v>
      </c>
    </row>
    <row r="3003" spans="1:10" x14ac:dyDescent="0.25">
      <c r="A3003" t="s">
        <v>6</v>
      </c>
      <c r="B3003" t="s">
        <v>55</v>
      </c>
      <c r="C3003" t="s">
        <v>1507</v>
      </c>
      <c r="D3003">
        <v>718830</v>
      </c>
      <c r="E3003" t="s">
        <v>10</v>
      </c>
      <c r="F3003">
        <v>52.128999999999998</v>
      </c>
      <c r="G3003">
        <v>-119.2898</v>
      </c>
      <c r="H3003">
        <v>-8</v>
      </c>
      <c r="I3003">
        <v>682.8</v>
      </c>
      <c r="J3003" t="str">
        <f>HYPERLINK("https://climate.onebuilding.org/WMO_Region_4_North_and_Central_America/CAN_Canada/BC_British_Columbia/CAN_BC_Blue.River.CS.718830_TMYx.2009-2023.zip")</f>
        <v>https://climate.onebuilding.org/WMO_Region_4_North_and_Central_America/CAN_Canada/BC_British_Columbia/CAN_BC_Blue.River.CS.718830_TMYx.2009-2023.zip</v>
      </c>
    </row>
    <row r="3004" spans="1:10" x14ac:dyDescent="0.25">
      <c r="A3004" t="s">
        <v>6</v>
      </c>
      <c r="B3004" t="s">
        <v>55</v>
      </c>
      <c r="C3004" t="s">
        <v>1507</v>
      </c>
      <c r="D3004">
        <v>718830</v>
      </c>
      <c r="E3004" t="s">
        <v>10</v>
      </c>
      <c r="F3004">
        <v>52.128999999999998</v>
      </c>
      <c r="G3004">
        <v>-119.2898</v>
      </c>
      <c r="H3004">
        <v>-8</v>
      </c>
      <c r="I3004">
        <v>682.8</v>
      </c>
      <c r="J3004" t="str">
        <f>HYPERLINK("https://climate.onebuilding.org/WMO_Region_4_North_and_Central_America/CAN_Canada/BC_British_Columbia/CAN_BC_Blue.River.CS.718830_TMYx.zip")</f>
        <v>https://climate.onebuilding.org/WMO_Region_4_North_and_Central_America/CAN_Canada/BC_British_Columbia/CAN_BC_Blue.River.CS.718830_TMYx.zip</v>
      </c>
    </row>
    <row r="3005" spans="1:10" x14ac:dyDescent="0.25">
      <c r="A3005" t="s">
        <v>6</v>
      </c>
      <c r="B3005" t="s">
        <v>17</v>
      </c>
      <c r="C3005" t="s">
        <v>1509</v>
      </c>
      <c r="D3005">
        <v>718840</v>
      </c>
      <c r="E3005" t="s">
        <v>1510</v>
      </c>
      <c r="F3005">
        <v>49.295999999999999</v>
      </c>
      <c r="G3005">
        <v>-117.633</v>
      </c>
      <c r="H3005">
        <v>-7</v>
      </c>
      <c r="I3005">
        <v>495</v>
      </c>
      <c r="J3005" t="str">
        <f>HYPERLINK("https://climate.onebuilding.org/WMO_Region_4_North_and_Central_America/CAN_Canada/AB_Alberta/CAN_AB_Castlegar-West.Kootenay.Rgnl.AP-Yarmouth.RCS.718840_TMYx.2004-2018.zip")</f>
        <v>https://climate.onebuilding.org/WMO_Region_4_North_and_Central_America/CAN_Canada/AB_Alberta/CAN_AB_Castlegar-West.Kootenay.Rgnl.AP-Yarmouth.RCS.718840_TMYx.2004-2018.zip</v>
      </c>
    </row>
    <row r="3006" spans="1:10" x14ac:dyDescent="0.25">
      <c r="A3006" t="s">
        <v>6</v>
      </c>
      <c r="B3006" t="s">
        <v>17</v>
      </c>
      <c r="C3006" t="s">
        <v>1509</v>
      </c>
      <c r="D3006">
        <v>718840</v>
      </c>
      <c r="E3006" t="s">
        <v>10</v>
      </c>
      <c r="F3006">
        <v>49.295999999999999</v>
      </c>
      <c r="G3006">
        <v>-117.633</v>
      </c>
      <c r="H3006">
        <v>-7</v>
      </c>
      <c r="I3006">
        <v>495</v>
      </c>
      <c r="J3006" t="str">
        <f>HYPERLINK("https://climate.onebuilding.org/WMO_Region_4_North_and_Central_America/CAN_Canada/AB_Alberta/CAN_AB_Castlegar-West.Kootenay.Rgnl.AP-Yarmouth.RCS.718840_TMYx.2007-2021.zip")</f>
        <v>https://climate.onebuilding.org/WMO_Region_4_North_and_Central_America/CAN_Canada/AB_Alberta/CAN_AB_Castlegar-West.Kootenay.Rgnl.AP-Yarmouth.RCS.718840_TMYx.2007-2021.zip</v>
      </c>
    </row>
    <row r="3007" spans="1:10" x14ac:dyDescent="0.25">
      <c r="A3007" t="s">
        <v>6</v>
      </c>
      <c r="B3007" t="s">
        <v>17</v>
      </c>
      <c r="C3007" t="s">
        <v>1509</v>
      </c>
      <c r="D3007">
        <v>718840</v>
      </c>
      <c r="E3007" t="s">
        <v>10</v>
      </c>
      <c r="F3007">
        <v>49.295999999999999</v>
      </c>
      <c r="G3007">
        <v>-117.633</v>
      </c>
      <c r="H3007">
        <v>-7</v>
      </c>
      <c r="I3007">
        <v>495</v>
      </c>
      <c r="J3007" t="str">
        <f>HYPERLINK("https://climate.onebuilding.org/WMO_Region_4_North_and_Central_America/CAN_Canada/AB_Alberta/CAN_AB_Castlegar-West.Kootenay.Rgnl.AP-Yarmouth.RCS.718840_TMYx.2009-2023.zip")</f>
        <v>https://climate.onebuilding.org/WMO_Region_4_North_and_Central_America/CAN_Canada/AB_Alberta/CAN_AB_Castlegar-West.Kootenay.Rgnl.AP-Yarmouth.RCS.718840_TMYx.2009-2023.zip</v>
      </c>
    </row>
    <row r="3008" spans="1:10" x14ac:dyDescent="0.25">
      <c r="A3008" t="s">
        <v>6</v>
      </c>
      <c r="B3008" t="s">
        <v>17</v>
      </c>
      <c r="C3008" t="s">
        <v>1509</v>
      </c>
      <c r="D3008">
        <v>718840</v>
      </c>
      <c r="E3008" t="s">
        <v>10</v>
      </c>
      <c r="F3008">
        <v>49.295999999999999</v>
      </c>
      <c r="G3008">
        <v>-117.633</v>
      </c>
      <c r="H3008">
        <v>-7</v>
      </c>
      <c r="I3008">
        <v>495</v>
      </c>
      <c r="J3008" t="str">
        <f>HYPERLINK("https://climate.onebuilding.org/WMO_Region_4_North_and_Central_America/CAN_Canada/AB_Alberta/CAN_AB_Castlegar-West.Kootenay.Rgnl.AP-Yarmouth.RCS.718840_TMYx.zip")</f>
        <v>https://climate.onebuilding.org/WMO_Region_4_North_and_Central_America/CAN_Canada/AB_Alberta/CAN_AB_Castlegar-West.Kootenay.Rgnl.AP-Yarmouth.RCS.718840_TMYx.zip</v>
      </c>
    </row>
    <row r="3009" spans="1:10" x14ac:dyDescent="0.25">
      <c r="A3009" t="s">
        <v>6</v>
      </c>
      <c r="B3009" t="s">
        <v>17</v>
      </c>
      <c r="C3009" t="s">
        <v>1511</v>
      </c>
      <c r="D3009">
        <v>718850</v>
      </c>
      <c r="E3009" t="s">
        <v>1512</v>
      </c>
      <c r="F3009">
        <v>49.334400000000002</v>
      </c>
      <c r="G3009">
        <v>-113.5244</v>
      </c>
      <c r="H3009">
        <v>-7</v>
      </c>
      <c r="I3009">
        <v>1074</v>
      </c>
      <c r="J3009" t="str">
        <f>HYPERLINK("https://climate.onebuilding.org/WMO_Region_4_North_and_Central_America/CAN_Canada/AB_Alberta/CAN_AB_Glenwood.718850_TMYx.2004-2018.zip")</f>
        <v>https://climate.onebuilding.org/WMO_Region_4_North_and_Central_America/CAN_Canada/AB_Alberta/CAN_AB_Glenwood.718850_TMYx.2004-2018.zip</v>
      </c>
    </row>
    <row r="3010" spans="1:10" x14ac:dyDescent="0.25">
      <c r="A3010" t="s">
        <v>6</v>
      </c>
      <c r="B3010" t="s">
        <v>17</v>
      </c>
      <c r="C3010" t="s">
        <v>1511</v>
      </c>
      <c r="D3010">
        <v>718850</v>
      </c>
      <c r="E3010" t="s">
        <v>10</v>
      </c>
      <c r="F3010">
        <v>49.334000000000003</v>
      </c>
      <c r="G3010">
        <v>-113.526</v>
      </c>
      <c r="H3010">
        <v>-7</v>
      </c>
      <c r="I3010">
        <v>1074</v>
      </c>
      <c r="J3010" t="str">
        <f>HYPERLINK("https://climate.onebuilding.org/WMO_Region_4_North_and_Central_America/CAN_Canada/AB_Alberta/CAN_AB_Glenwood.718850_TMYx.2007-2021.zip")</f>
        <v>https://climate.onebuilding.org/WMO_Region_4_North_and_Central_America/CAN_Canada/AB_Alberta/CAN_AB_Glenwood.718850_TMYx.2007-2021.zip</v>
      </c>
    </row>
    <row r="3011" spans="1:10" x14ac:dyDescent="0.25">
      <c r="A3011" t="s">
        <v>6</v>
      </c>
      <c r="B3011" t="s">
        <v>17</v>
      </c>
      <c r="C3011" t="s">
        <v>1511</v>
      </c>
      <c r="D3011">
        <v>718850</v>
      </c>
      <c r="E3011" t="s">
        <v>10</v>
      </c>
      <c r="F3011">
        <v>49.334000000000003</v>
      </c>
      <c r="G3011">
        <v>-113.526</v>
      </c>
      <c r="H3011">
        <v>-7</v>
      </c>
      <c r="I3011">
        <v>1074</v>
      </c>
      <c r="J3011" t="str">
        <f>HYPERLINK("https://climate.onebuilding.org/WMO_Region_4_North_and_Central_America/CAN_Canada/AB_Alberta/CAN_AB_Glenwood.718850_TMYx.2009-2023.zip")</f>
        <v>https://climate.onebuilding.org/WMO_Region_4_North_and_Central_America/CAN_Canada/AB_Alberta/CAN_AB_Glenwood.718850_TMYx.2009-2023.zip</v>
      </c>
    </row>
    <row r="3012" spans="1:10" x14ac:dyDescent="0.25">
      <c r="A3012" t="s">
        <v>6</v>
      </c>
      <c r="B3012" t="s">
        <v>17</v>
      </c>
      <c r="C3012" t="s">
        <v>1511</v>
      </c>
      <c r="D3012">
        <v>718850</v>
      </c>
      <c r="E3012" t="s">
        <v>10</v>
      </c>
      <c r="F3012">
        <v>49.334000000000003</v>
      </c>
      <c r="G3012">
        <v>-113.526</v>
      </c>
      <c r="H3012">
        <v>-7</v>
      </c>
      <c r="I3012">
        <v>1074</v>
      </c>
      <c r="J3012" t="str">
        <f>HYPERLINK("https://climate.onebuilding.org/WMO_Region_4_North_and_Central_America/CAN_Canada/AB_Alberta/CAN_AB_Glenwood.718850_TMYx.zip")</f>
        <v>https://climate.onebuilding.org/WMO_Region_4_North_and_Central_America/CAN_Canada/AB_Alberta/CAN_AB_Glenwood.718850_TMYx.zip</v>
      </c>
    </row>
    <row r="3013" spans="1:10" x14ac:dyDescent="0.25">
      <c r="A3013" t="s">
        <v>6</v>
      </c>
      <c r="B3013" t="s">
        <v>58</v>
      </c>
      <c r="C3013" t="s">
        <v>1513</v>
      </c>
      <c r="D3013">
        <v>718860</v>
      </c>
      <c r="E3013" t="s">
        <v>10</v>
      </c>
      <c r="F3013">
        <v>51.264699999999998</v>
      </c>
      <c r="G3013">
        <v>-102.4644</v>
      </c>
      <c r="H3013">
        <v>-6</v>
      </c>
      <c r="I3013">
        <v>498.4</v>
      </c>
      <c r="J3013" t="str">
        <f>HYPERLINK("https://climate.onebuilding.org/WMO_Region_4_North_and_Central_America/CAN_Canada/SK_Saskatchewan/CAN_SK_Yorkton.RCS.718860_TMYx.2007-2021.zip")</f>
        <v>https://climate.onebuilding.org/WMO_Region_4_North_and_Central_America/CAN_Canada/SK_Saskatchewan/CAN_SK_Yorkton.RCS.718860_TMYx.2007-2021.zip</v>
      </c>
    </row>
    <row r="3014" spans="1:10" x14ac:dyDescent="0.25">
      <c r="A3014" t="s">
        <v>6</v>
      </c>
      <c r="B3014" t="s">
        <v>58</v>
      </c>
      <c r="C3014" t="s">
        <v>1513</v>
      </c>
      <c r="D3014">
        <v>718860</v>
      </c>
      <c r="E3014" t="s">
        <v>10</v>
      </c>
      <c r="F3014">
        <v>51.264699999999998</v>
      </c>
      <c r="G3014">
        <v>-102.4644</v>
      </c>
      <c r="H3014">
        <v>-6</v>
      </c>
      <c r="I3014">
        <v>498.4</v>
      </c>
      <c r="J3014" t="str">
        <f>HYPERLINK("https://climate.onebuilding.org/WMO_Region_4_North_and_Central_America/CAN_Canada/SK_Saskatchewan/CAN_SK_Yorkton.RCS.718860_TMYx.2009-2023.zip")</f>
        <v>https://climate.onebuilding.org/WMO_Region_4_North_and_Central_America/CAN_Canada/SK_Saskatchewan/CAN_SK_Yorkton.RCS.718860_TMYx.2009-2023.zip</v>
      </c>
    </row>
    <row r="3015" spans="1:10" x14ac:dyDescent="0.25">
      <c r="A3015" t="s">
        <v>6</v>
      </c>
      <c r="B3015" t="s">
        <v>58</v>
      </c>
      <c r="C3015" t="s">
        <v>1513</v>
      </c>
      <c r="D3015">
        <v>718860</v>
      </c>
      <c r="E3015" t="s">
        <v>10</v>
      </c>
      <c r="F3015">
        <v>51.264699999999998</v>
      </c>
      <c r="G3015">
        <v>-102.4644</v>
      </c>
      <c r="H3015">
        <v>-6</v>
      </c>
      <c r="I3015">
        <v>498.4</v>
      </c>
      <c r="J3015" t="str">
        <f>HYPERLINK("https://climate.onebuilding.org/WMO_Region_4_North_and_Central_America/CAN_Canada/SK_Saskatchewan/CAN_SK_Yorkton.RCS.718860_TMYx.zip")</f>
        <v>https://climate.onebuilding.org/WMO_Region_4_North_and_Central_America/CAN_Canada/SK_Saskatchewan/CAN_SK_Yorkton.RCS.718860_TMYx.zip</v>
      </c>
    </row>
    <row r="3016" spans="1:10" x14ac:dyDescent="0.25">
      <c r="A3016" t="s">
        <v>6</v>
      </c>
      <c r="B3016" t="s">
        <v>55</v>
      </c>
      <c r="C3016" t="s">
        <v>1514</v>
      </c>
      <c r="D3016">
        <v>718870</v>
      </c>
      <c r="E3016" t="s">
        <v>1515</v>
      </c>
      <c r="F3016">
        <v>50.702199999999998</v>
      </c>
      <c r="G3016">
        <v>-120.4419</v>
      </c>
      <c r="H3016">
        <v>-8</v>
      </c>
      <c r="I3016">
        <v>345.3</v>
      </c>
      <c r="J3016" t="str">
        <f>HYPERLINK("https://climate.onebuilding.org/WMO_Region_4_North_and_Central_America/CAN_Canada/BC_British_Columbia/CAN_BC_Kamloops.AP.718870_TMYx.2004-2018.zip")</f>
        <v>https://climate.onebuilding.org/WMO_Region_4_North_and_Central_America/CAN_Canada/BC_British_Columbia/CAN_BC_Kamloops.AP.718870_TMYx.2004-2018.zip</v>
      </c>
    </row>
    <row r="3017" spans="1:10" x14ac:dyDescent="0.25">
      <c r="A3017" t="s">
        <v>6</v>
      </c>
      <c r="B3017" t="s">
        <v>55</v>
      </c>
      <c r="C3017" t="s">
        <v>1514</v>
      </c>
      <c r="D3017">
        <v>718870</v>
      </c>
      <c r="E3017" t="s">
        <v>10</v>
      </c>
      <c r="F3017">
        <v>50.699300000000001</v>
      </c>
      <c r="G3017">
        <v>-120.4406</v>
      </c>
      <c r="H3017">
        <v>-8</v>
      </c>
      <c r="I3017">
        <v>345.3</v>
      </c>
      <c r="J3017" t="str">
        <f>HYPERLINK("https://climate.onebuilding.org/WMO_Region_4_North_and_Central_America/CAN_Canada/BC_British_Columbia/CAN_BC_Kamloops.AP.718870_TMYx.2007-2021.zip")</f>
        <v>https://climate.onebuilding.org/WMO_Region_4_North_and_Central_America/CAN_Canada/BC_British_Columbia/CAN_BC_Kamloops.AP.718870_TMYx.2007-2021.zip</v>
      </c>
    </row>
    <row r="3018" spans="1:10" x14ac:dyDescent="0.25">
      <c r="A3018" t="s">
        <v>6</v>
      </c>
      <c r="B3018" t="s">
        <v>55</v>
      </c>
      <c r="C3018" t="s">
        <v>1514</v>
      </c>
      <c r="D3018">
        <v>718870</v>
      </c>
      <c r="E3018" t="s">
        <v>10</v>
      </c>
      <c r="F3018">
        <v>50.699300000000001</v>
      </c>
      <c r="G3018">
        <v>-120.4406</v>
      </c>
      <c r="H3018">
        <v>-8</v>
      </c>
      <c r="I3018">
        <v>345.3</v>
      </c>
      <c r="J3018" t="str">
        <f>HYPERLINK("https://climate.onebuilding.org/WMO_Region_4_North_and_Central_America/CAN_Canada/BC_British_Columbia/CAN_BC_Kamloops.AP.718870_TMYx.2009-2023.zip")</f>
        <v>https://climate.onebuilding.org/WMO_Region_4_North_and_Central_America/CAN_Canada/BC_British_Columbia/CAN_BC_Kamloops.AP.718870_TMYx.2009-2023.zip</v>
      </c>
    </row>
    <row r="3019" spans="1:10" x14ac:dyDescent="0.25">
      <c r="A3019" t="s">
        <v>6</v>
      </c>
      <c r="B3019" t="s">
        <v>55</v>
      </c>
      <c r="C3019" t="s">
        <v>1514</v>
      </c>
      <c r="D3019">
        <v>718870</v>
      </c>
      <c r="E3019" t="s">
        <v>10</v>
      </c>
      <c r="F3019">
        <v>50.699300000000001</v>
      </c>
      <c r="G3019">
        <v>-120.4406</v>
      </c>
      <c r="H3019">
        <v>-8</v>
      </c>
      <c r="I3019">
        <v>345.3</v>
      </c>
      <c r="J3019" t="str">
        <f>HYPERLINK("https://climate.onebuilding.org/WMO_Region_4_North_and_Central_America/CAN_Canada/BC_British_Columbia/CAN_BC_Kamloops.AP.718870_TMYx.zip")</f>
        <v>https://climate.onebuilding.org/WMO_Region_4_North_and_Central_America/CAN_Canada/BC_British_Columbia/CAN_BC_Kamloops.AP.718870_TMYx.zip</v>
      </c>
    </row>
    <row r="3020" spans="1:10" x14ac:dyDescent="0.25">
      <c r="A3020" t="s">
        <v>6</v>
      </c>
      <c r="B3020" t="s">
        <v>17</v>
      </c>
      <c r="C3020" t="s">
        <v>1516</v>
      </c>
      <c r="D3020">
        <v>718880</v>
      </c>
      <c r="E3020" t="s">
        <v>1517</v>
      </c>
      <c r="F3020">
        <v>53.182200000000002</v>
      </c>
      <c r="G3020">
        <v>-111.7317</v>
      </c>
      <c r="H3020">
        <v>-7</v>
      </c>
      <c r="I3020">
        <v>711</v>
      </c>
      <c r="J3020" t="str">
        <f>HYPERLINK("https://climate.onebuilding.org/WMO_Region_4_North_and_Central_America/CAN_Canada/AB_Alberta/CAN_AB_Viking.AgCM.718880_TMYx.2004-2018.zip")</f>
        <v>https://climate.onebuilding.org/WMO_Region_4_North_and_Central_America/CAN_Canada/AB_Alberta/CAN_AB_Viking.AgCM.718880_TMYx.2004-2018.zip</v>
      </c>
    </row>
    <row r="3021" spans="1:10" x14ac:dyDescent="0.25">
      <c r="A3021" t="s">
        <v>6</v>
      </c>
      <c r="B3021" t="s">
        <v>17</v>
      </c>
      <c r="C3021" t="s">
        <v>1516</v>
      </c>
      <c r="D3021">
        <v>718880</v>
      </c>
      <c r="E3021" t="s">
        <v>10</v>
      </c>
      <c r="F3021">
        <v>53.182200000000002</v>
      </c>
      <c r="G3021">
        <v>-111.7317</v>
      </c>
      <c r="H3021">
        <v>-7</v>
      </c>
      <c r="I3021">
        <v>711</v>
      </c>
      <c r="J3021" t="str">
        <f>HYPERLINK("https://climate.onebuilding.org/WMO_Region_4_North_and_Central_America/CAN_Canada/AB_Alberta/CAN_AB_Viking.AgCM.718880_TMYx.2007-2021.zip")</f>
        <v>https://climate.onebuilding.org/WMO_Region_4_North_and_Central_America/CAN_Canada/AB_Alberta/CAN_AB_Viking.AgCM.718880_TMYx.2007-2021.zip</v>
      </c>
    </row>
    <row r="3022" spans="1:10" x14ac:dyDescent="0.25">
      <c r="A3022" t="s">
        <v>6</v>
      </c>
      <c r="B3022" t="s">
        <v>17</v>
      </c>
      <c r="C3022" t="s">
        <v>1516</v>
      </c>
      <c r="D3022">
        <v>718880</v>
      </c>
      <c r="E3022" t="s">
        <v>10</v>
      </c>
      <c r="F3022">
        <v>53.182200000000002</v>
      </c>
      <c r="G3022">
        <v>-111.7317</v>
      </c>
      <c r="H3022">
        <v>-7</v>
      </c>
      <c r="I3022">
        <v>711</v>
      </c>
      <c r="J3022" t="str">
        <f>HYPERLINK("https://climate.onebuilding.org/WMO_Region_4_North_and_Central_America/CAN_Canada/AB_Alberta/CAN_AB_Viking.AgCM.718880_TMYx.2009-2023.zip")</f>
        <v>https://climate.onebuilding.org/WMO_Region_4_North_and_Central_America/CAN_Canada/AB_Alberta/CAN_AB_Viking.AgCM.718880_TMYx.2009-2023.zip</v>
      </c>
    </row>
    <row r="3023" spans="1:10" x14ac:dyDescent="0.25">
      <c r="A3023" t="s">
        <v>6</v>
      </c>
      <c r="B3023" t="s">
        <v>17</v>
      </c>
      <c r="C3023" t="s">
        <v>1516</v>
      </c>
      <c r="D3023">
        <v>718880</v>
      </c>
      <c r="E3023" t="s">
        <v>10</v>
      </c>
      <c r="F3023">
        <v>53.182200000000002</v>
      </c>
      <c r="G3023">
        <v>-111.7317</v>
      </c>
      <c r="H3023">
        <v>-7</v>
      </c>
      <c r="I3023">
        <v>711</v>
      </c>
      <c r="J3023" t="str">
        <f>HYPERLINK("https://climate.onebuilding.org/WMO_Region_4_North_and_Central_America/CAN_Canada/AB_Alberta/CAN_AB_Viking.AgCM.718880_TMYx.zip")</f>
        <v>https://climate.onebuilding.org/WMO_Region_4_North_and_Central_America/CAN_Canada/AB_Alberta/CAN_AB_Viking.AgCM.718880_TMYx.zip</v>
      </c>
    </row>
    <row r="3024" spans="1:10" x14ac:dyDescent="0.25">
      <c r="A3024" t="s">
        <v>6</v>
      </c>
      <c r="B3024" t="s">
        <v>55</v>
      </c>
      <c r="C3024" t="s">
        <v>1518</v>
      </c>
      <c r="D3024">
        <v>718890</v>
      </c>
      <c r="E3024" t="s">
        <v>1519</v>
      </c>
      <c r="F3024">
        <v>49.462499999999999</v>
      </c>
      <c r="G3024">
        <v>-119.6022</v>
      </c>
      <c r="H3024">
        <v>-8</v>
      </c>
      <c r="I3024">
        <v>344.4</v>
      </c>
      <c r="J3024" t="str">
        <f>HYPERLINK("https://climate.onebuilding.org/WMO_Region_4_North_and_Central_America/CAN_Canada/BC_British_Columbia/CAN_BC_Penticton.Rgnl.AP.718890_TMYx.2004-2018.zip")</f>
        <v>https://climate.onebuilding.org/WMO_Region_4_North_and_Central_America/CAN_Canada/BC_British_Columbia/CAN_BC_Penticton.Rgnl.AP.718890_TMYx.2004-2018.zip</v>
      </c>
    </row>
    <row r="3025" spans="1:10" x14ac:dyDescent="0.25">
      <c r="A3025" t="s">
        <v>6</v>
      </c>
      <c r="B3025" t="s">
        <v>55</v>
      </c>
      <c r="C3025" t="s">
        <v>1518</v>
      </c>
      <c r="D3025">
        <v>718890</v>
      </c>
      <c r="E3025" t="s">
        <v>10</v>
      </c>
      <c r="F3025">
        <v>49.462499999999999</v>
      </c>
      <c r="G3025">
        <v>-119.6022</v>
      </c>
      <c r="H3025">
        <v>-8</v>
      </c>
      <c r="I3025">
        <v>344.4</v>
      </c>
      <c r="J3025" t="str">
        <f>HYPERLINK("https://climate.onebuilding.org/WMO_Region_4_North_and_Central_America/CAN_Canada/BC_British_Columbia/CAN_BC_Penticton.Rgnl.AP.718890_TMYx.2007-2021.zip")</f>
        <v>https://climate.onebuilding.org/WMO_Region_4_North_and_Central_America/CAN_Canada/BC_British_Columbia/CAN_BC_Penticton.Rgnl.AP.718890_TMYx.2007-2021.zip</v>
      </c>
    </row>
    <row r="3026" spans="1:10" x14ac:dyDescent="0.25">
      <c r="A3026" t="s">
        <v>6</v>
      </c>
      <c r="B3026" t="s">
        <v>55</v>
      </c>
      <c r="C3026" t="s">
        <v>1518</v>
      </c>
      <c r="D3026">
        <v>718890</v>
      </c>
      <c r="E3026" t="s">
        <v>10</v>
      </c>
      <c r="F3026">
        <v>49.462499999999999</v>
      </c>
      <c r="G3026">
        <v>-119.6022</v>
      </c>
      <c r="H3026">
        <v>-8</v>
      </c>
      <c r="I3026">
        <v>344.4</v>
      </c>
      <c r="J3026" t="str">
        <f>HYPERLINK("https://climate.onebuilding.org/WMO_Region_4_North_and_Central_America/CAN_Canada/BC_British_Columbia/CAN_BC_Penticton.Rgnl.AP.718890_TMYx.2009-2023.zip")</f>
        <v>https://climate.onebuilding.org/WMO_Region_4_North_and_Central_America/CAN_Canada/BC_British_Columbia/CAN_BC_Penticton.Rgnl.AP.718890_TMYx.2009-2023.zip</v>
      </c>
    </row>
    <row r="3027" spans="1:10" x14ac:dyDescent="0.25">
      <c r="A3027" t="s">
        <v>6</v>
      </c>
      <c r="B3027" t="s">
        <v>55</v>
      </c>
      <c r="C3027" t="s">
        <v>1518</v>
      </c>
      <c r="D3027">
        <v>718890</v>
      </c>
      <c r="E3027" t="s">
        <v>10</v>
      </c>
      <c r="F3027">
        <v>49.462499999999999</v>
      </c>
      <c r="G3027">
        <v>-119.6022</v>
      </c>
      <c r="H3027">
        <v>-8</v>
      </c>
      <c r="I3027">
        <v>344.4</v>
      </c>
      <c r="J3027" t="str">
        <f>HYPERLINK("https://climate.onebuilding.org/WMO_Region_4_North_and_Central_America/CAN_Canada/BC_British_Columbia/CAN_BC_Penticton.Rgnl.AP.718890_TMYx.zip")</f>
        <v>https://climate.onebuilding.org/WMO_Region_4_North_and_Central_America/CAN_Canada/BC_British_Columbia/CAN_BC_Penticton.Rgnl.AP.718890_TMYx.zip</v>
      </c>
    </row>
    <row r="3028" spans="1:10" x14ac:dyDescent="0.25">
      <c r="A3028" t="s">
        <v>6</v>
      </c>
      <c r="B3028" t="s">
        <v>55</v>
      </c>
      <c r="C3028" t="s">
        <v>1520</v>
      </c>
      <c r="D3028">
        <v>718900</v>
      </c>
      <c r="E3028" t="s">
        <v>1521</v>
      </c>
      <c r="F3028">
        <v>49.052</v>
      </c>
      <c r="G3028">
        <v>-123.87</v>
      </c>
      <c r="H3028">
        <v>-8</v>
      </c>
      <c r="I3028">
        <v>28.3</v>
      </c>
      <c r="J3028" t="str">
        <f>HYPERLINK("https://climate.onebuilding.org/WMO_Region_4_North_and_Central_America/CAN_Canada/BC_British_Columbia/CAN_BC_Nanaimo.AP.718900_TMYx.2004-2018.zip")</f>
        <v>https://climate.onebuilding.org/WMO_Region_4_North_and_Central_America/CAN_Canada/BC_British_Columbia/CAN_BC_Nanaimo.AP.718900_TMYx.2004-2018.zip</v>
      </c>
    </row>
    <row r="3029" spans="1:10" x14ac:dyDescent="0.25">
      <c r="A3029" t="s">
        <v>6</v>
      </c>
      <c r="B3029" t="s">
        <v>55</v>
      </c>
      <c r="C3029" t="s">
        <v>1520</v>
      </c>
      <c r="D3029">
        <v>718900</v>
      </c>
      <c r="E3029" t="s">
        <v>10</v>
      </c>
      <c r="F3029">
        <v>49.052</v>
      </c>
      <c r="G3029">
        <v>-123.87</v>
      </c>
      <c r="H3029">
        <v>-8</v>
      </c>
      <c r="I3029">
        <v>28.3</v>
      </c>
      <c r="J3029" t="str">
        <f>HYPERLINK("https://climate.onebuilding.org/WMO_Region_4_North_and_Central_America/CAN_Canada/BC_British_Columbia/CAN_BC_Nanaimo.AP.718900_TMYx.2007-2021.zip")</f>
        <v>https://climate.onebuilding.org/WMO_Region_4_North_and_Central_America/CAN_Canada/BC_British_Columbia/CAN_BC_Nanaimo.AP.718900_TMYx.2007-2021.zip</v>
      </c>
    </row>
    <row r="3030" spans="1:10" x14ac:dyDescent="0.25">
      <c r="A3030" t="s">
        <v>6</v>
      </c>
      <c r="B3030" t="s">
        <v>55</v>
      </c>
      <c r="C3030" t="s">
        <v>1520</v>
      </c>
      <c r="D3030">
        <v>718900</v>
      </c>
      <c r="E3030" t="s">
        <v>10</v>
      </c>
      <c r="F3030">
        <v>49.052</v>
      </c>
      <c r="G3030">
        <v>-123.87</v>
      </c>
      <c r="H3030">
        <v>-8</v>
      </c>
      <c r="I3030">
        <v>28.3</v>
      </c>
      <c r="J3030" t="str">
        <f>HYPERLINK("https://climate.onebuilding.org/WMO_Region_4_North_and_Central_America/CAN_Canada/BC_British_Columbia/CAN_BC_Nanaimo.AP.718900_TMYx.2009-2023.zip")</f>
        <v>https://climate.onebuilding.org/WMO_Region_4_North_and_Central_America/CAN_Canada/BC_British_Columbia/CAN_BC_Nanaimo.AP.718900_TMYx.2009-2023.zip</v>
      </c>
    </row>
    <row r="3031" spans="1:10" x14ac:dyDescent="0.25">
      <c r="A3031" t="s">
        <v>6</v>
      </c>
      <c r="B3031" t="s">
        <v>55</v>
      </c>
      <c r="C3031" t="s">
        <v>1520</v>
      </c>
      <c r="D3031">
        <v>718900</v>
      </c>
      <c r="E3031" t="s">
        <v>10</v>
      </c>
      <c r="F3031">
        <v>49.052</v>
      </c>
      <c r="G3031">
        <v>-123.87</v>
      </c>
      <c r="H3031">
        <v>-8</v>
      </c>
      <c r="I3031">
        <v>28.3</v>
      </c>
      <c r="J3031" t="str">
        <f>HYPERLINK("https://climate.onebuilding.org/WMO_Region_4_North_and_Central_America/CAN_Canada/BC_British_Columbia/CAN_BC_Nanaimo.AP.718900_TMYx.zip")</f>
        <v>https://climate.onebuilding.org/WMO_Region_4_North_and_Central_America/CAN_Canada/BC_British_Columbia/CAN_BC_Nanaimo.AP.718900_TMYx.zip</v>
      </c>
    </row>
    <row r="3032" spans="1:10" x14ac:dyDescent="0.25">
      <c r="A3032" t="s">
        <v>6</v>
      </c>
      <c r="B3032" t="s">
        <v>55</v>
      </c>
      <c r="C3032" t="s">
        <v>1522</v>
      </c>
      <c r="D3032">
        <v>718915</v>
      </c>
      <c r="E3032" t="s">
        <v>10</v>
      </c>
      <c r="F3032">
        <v>49.28</v>
      </c>
      <c r="G3032">
        <v>-121.23</v>
      </c>
      <c r="H3032">
        <v>-8</v>
      </c>
      <c r="I3032">
        <v>674</v>
      </c>
      <c r="J3032" t="str">
        <f>HYPERLINK("https://climate.onebuilding.org/WMO_Region_4_North_and_Central_America/CAN_Canada/BC_British_Columbia/CAN_BC_Hope.Slide.718915_TMYx.zip")</f>
        <v>https://climate.onebuilding.org/WMO_Region_4_North_and_Central_America/CAN_Canada/BC_British_Columbia/CAN_BC_Hope.Slide.718915_TMYx.zip</v>
      </c>
    </row>
    <row r="3033" spans="1:10" x14ac:dyDescent="0.25">
      <c r="A3033" t="s">
        <v>6</v>
      </c>
      <c r="B3033" t="s">
        <v>55</v>
      </c>
      <c r="C3033" t="s">
        <v>1523</v>
      </c>
      <c r="D3033">
        <v>718916</v>
      </c>
      <c r="E3033" t="s">
        <v>10</v>
      </c>
      <c r="F3033">
        <v>49.998550000000002</v>
      </c>
      <c r="G3033">
        <v>-125.1956</v>
      </c>
      <c r="H3033">
        <v>-8</v>
      </c>
      <c r="I3033">
        <v>5</v>
      </c>
      <c r="J3033" t="str">
        <f>HYPERLINK("https://climate.onebuilding.org/WMO_Region_4_North_and_Central_America/CAN_Canada/BC_British_Columbia/CAN_BC_Cape.Mudge.Lighthouse.718916_TMYx.zip")</f>
        <v>https://climate.onebuilding.org/WMO_Region_4_North_and_Central_America/CAN_Canada/BC_British_Columbia/CAN_BC_Cape.Mudge.Lighthouse.718916_TMYx.zip</v>
      </c>
    </row>
    <row r="3034" spans="1:10" x14ac:dyDescent="0.25">
      <c r="A3034" t="s">
        <v>6</v>
      </c>
      <c r="B3034" t="s">
        <v>55</v>
      </c>
      <c r="C3034" t="s">
        <v>1524</v>
      </c>
      <c r="D3034">
        <v>718920</v>
      </c>
      <c r="E3034" t="s">
        <v>1525</v>
      </c>
      <c r="F3034">
        <v>49.194699999999997</v>
      </c>
      <c r="G3034">
        <v>-123.18389999999999</v>
      </c>
      <c r="H3034">
        <v>-8</v>
      </c>
      <c r="I3034">
        <v>4.3</v>
      </c>
      <c r="J3034" t="str">
        <f>HYPERLINK("https://climate.onebuilding.org/WMO_Region_4_North_and_Central_America/CAN_Canada/BC_British_Columbia/CAN_BC_Vancouver.Intl.AP.718920_TMYx.2004-2018.zip")</f>
        <v>https://climate.onebuilding.org/WMO_Region_4_North_and_Central_America/CAN_Canada/BC_British_Columbia/CAN_BC_Vancouver.Intl.AP.718920_TMYx.2004-2018.zip</v>
      </c>
    </row>
    <row r="3035" spans="1:10" x14ac:dyDescent="0.25">
      <c r="A3035" t="s">
        <v>6</v>
      </c>
      <c r="B3035" t="s">
        <v>55</v>
      </c>
      <c r="C3035" t="s">
        <v>1524</v>
      </c>
      <c r="D3035">
        <v>718920</v>
      </c>
      <c r="E3035" t="s">
        <v>10</v>
      </c>
      <c r="F3035">
        <v>49.194699999999997</v>
      </c>
      <c r="G3035">
        <v>-123.18389999999999</v>
      </c>
      <c r="H3035">
        <v>-8</v>
      </c>
      <c r="I3035">
        <v>4.3</v>
      </c>
      <c r="J3035" t="str">
        <f>HYPERLINK("https://climate.onebuilding.org/WMO_Region_4_North_and_Central_America/CAN_Canada/BC_British_Columbia/CAN_BC_Vancouver.Intl.AP.718920_TMYx.2007-2021.zip")</f>
        <v>https://climate.onebuilding.org/WMO_Region_4_North_and_Central_America/CAN_Canada/BC_British_Columbia/CAN_BC_Vancouver.Intl.AP.718920_TMYx.2007-2021.zip</v>
      </c>
    </row>
    <row r="3036" spans="1:10" x14ac:dyDescent="0.25">
      <c r="A3036" t="s">
        <v>6</v>
      </c>
      <c r="B3036" t="s">
        <v>55</v>
      </c>
      <c r="C3036" t="s">
        <v>1524</v>
      </c>
      <c r="D3036">
        <v>718920</v>
      </c>
      <c r="E3036" t="s">
        <v>10</v>
      </c>
      <c r="F3036">
        <v>49.194699999999997</v>
      </c>
      <c r="G3036">
        <v>-123.18389999999999</v>
      </c>
      <c r="H3036">
        <v>-8</v>
      </c>
      <c r="I3036">
        <v>4.3</v>
      </c>
      <c r="J3036" t="str">
        <f>HYPERLINK("https://climate.onebuilding.org/WMO_Region_4_North_and_Central_America/CAN_Canada/BC_British_Columbia/CAN_BC_Vancouver.Intl.AP.718920_TMYx.2009-2023.zip")</f>
        <v>https://climate.onebuilding.org/WMO_Region_4_North_and_Central_America/CAN_Canada/BC_British_Columbia/CAN_BC_Vancouver.Intl.AP.718920_TMYx.2009-2023.zip</v>
      </c>
    </row>
    <row r="3037" spans="1:10" x14ac:dyDescent="0.25">
      <c r="A3037" t="s">
        <v>6</v>
      </c>
      <c r="B3037" t="s">
        <v>55</v>
      </c>
      <c r="C3037" t="s">
        <v>1524</v>
      </c>
      <c r="D3037">
        <v>718920</v>
      </c>
      <c r="E3037" t="s">
        <v>10</v>
      </c>
      <c r="F3037">
        <v>49.194699999999997</v>
      </c>
      <c r="G3037">
        <v>-123.18389999999999</v>
      </c>
      <c r="H3037">
        <v>-8</v>
      </c>
      <c r="I3037">
        <v>4.3</v>
      </c>
      <c r="J3037" t="str">
        <f>HYPERLINK("https://climate.onebuilding.org/WMO_Region_4_North_and_Central_America/CAN_Canada/BC_British_Columbia/CAN_BC_Vancouver.Intl.AP.718920_TMYx.zip")</f>
        <v>https://climate.onebuilding.org/WMO_Region_4_North_and_Central_America/CAN_Canada/BC_British_Columbia/CAN_BC_Vancouver.Intl.AP.718920_TMYx.zip</v>
      </c>
    </row>
    <row r="3038" spans="1:10" x14ac:dyDescent="0.25">
      <c r="A3038" t="s">
        <v>6</v>
      </c>
      <c r="B3038" t="s">
        <v>55</v>
      </c>
      <c r="C3038" t="s">
        <v>1526</v>
      </c>
      <c r="D3038">
        <v>718930</v>
      </c>
      <c r="E3038" t="s">
        <v>1527</v>
      </c>
      <c r="F3038">
        <v>49.710999999999999</v>
      </c>
      <c r="G3038">
        <v>-124.9</v>
      </c>
      <c r="H3038">
        <v>-8</v>
      </c>
      <c r="I3038">
        <v>25.6</v>
      </c>
      <c r="J3038" t="str">
        <f>HYPERLINK("https://climate.onebuilding.org/WMO_Region_4_North_and_Central_America/CAN_Canada/BC_British_Columbia/CAN_BC_Comox.Valley.AP-CFB.Comox.Valley.718930_TMYx.2004-2018.zip")</f>
        <v>https://climate.onebuilding.org/WMO_Region_4_North_and_Central_America/CAN_Canada/BC_British_Columbia/CAN_BC_Comox.Valley.AP-CFB.Comox.Valley.718930_TMYx.2004-2018.zip</v>
      </c>
    </row>
    <row r="3039" spans="1:10" x14ac:dyDescent="0.25">
      <c r="A3039" t="s">
        <v>6</v>
      </c>
      <c r="B3039" t="s">
        <v>55</v>
      </c>
      <c r="C3039" t="s">
        <v>1526</v>
      </c>
      <c r="D3039">
        <v>718930</v>
      </c>
      <c r="E3039" t="s">
        <v>10</v>
      </c>
      <c r="F3039">
        <v>49.710999999999999</v>
      </c>
      <c r="G3039">
        <v>-124.9</v>
      </c>
      <c r="H3039">
        <v>-8</v>
      </c>
      <c r="I3039">
        <v>25.6</v>
      </c>
      <c r="J3039" t="str">
        <f>HYPERLINK("https://climate.onebuilding.org/WMO_Region_4_North_and_Central_America/CAN_Canada/BC_British_Columbia/CAN_BC_Comox.Valley.AP-CFB.Comox.Valley.718930_TMYx.2007-2021.zip")</f>
        <v>https://climate.onebuilding.org/WMO_Region_4_North_and_Central_America/CAN_Canada/BC_British_Columbia/CAN_BC_Comox.Valley.AP-CFB.Comox.Valley.718930_TMYx.2007-2021.zip</v>
      </c>
    </row>
    <row r="3040" spans="1:10" x14ac:dyDescent="0.25">
      <c r="A3040" t="s">
        <v>6</v>
      </c>
      <c r="B3040" t="s">
        <v>55</v>
      </c>
      <c r="C3040" t="s">
        <v>1526</v>
      </c>
      <c r="D3040">
        <v>718930</v>
      </c>
      <c r="E3040" t="s">
        <v>10</v>
      </c>
      <c r="F3040">
        <v>49.710999999999999</v>
      </c>
      <c r="G3040">
        <v>-124.9</v>
      </c>
      <c r="H3040">
        <v>-8</v>
      </c>
      <c r="I3040">
        <v>25.6</v>
      </c>
      <c r="J3040" t="str">
        <f>HYPERLINK("https://climate.onebuilding.org/WMO_Region_4_North_and_Central_America/CAN_Canada/BC_British_Columbia/CAN_BC_Comox.Valley.AP-CFB.Comox.Valley.718930_TMYx.2009-2023.zip")</f>
        <v>https://climate.onebuilding.org/WMO_Region_4_North_and_Central_America/CAN_Canada/BC_British_Columbia/CAN_BC_Comox.Valley.AP-CFB.Comox.Valley.718930_TMYx.2009-2023.zip</v>
      </c>
    </row>
    <row r="3041" spans="1:10" x14ac:dyDescent="0.25">
      <c r="A3041" t="s">
        <v>6</v>
      </c>
      <c r="B3041" t="s">
        <v>55</v>
      </c>
      <c r="C3041" t="s">
        <v>1526</v>
      </c>
      <c r="D3041">
        <v>718930</v>
      </c>
      <c r="E3041" t="s">
        <v>10</v>
      </c>
      <c r="F3041">
        <v>49.710999999999999</v>
      </c>
      <c r="G3041">
        <v>-124.9</v>
      </c>
      <c r="H3041">
        <v>-8</v>
      </c>
      <c r="I3041">
        <v>25.6</v>
      </c>
      <c r="J3041" t="str">
        <f>HYPERLINK("https://climate.onebuilding.org/WMO_Region_4_North_and_Central_America/CAN_Canada/BC_British_Columbia/CAN_BC_Comox.Valley.AP-CFB.Comox.Valley.718930_TMYx.zip")</f>
        <v>https://climate.onebuilding.org/WMO_Region_4_North_and_Central_America/CAN_Canada/BC_British_Columbia/CAN_BC_Comox.Valley.AP-CFB.Comox.Valley.718930_TMYx.zip</v>
      </c>
    </row>
    <row r="3042" spans="1:10" x14ac:dyDescent="0.25">
      <c r="A3042" t="s">
        <v>6</v>
      </c>
      <c r="B3042" t="s">
        <v>55</v>
      </c>
      <c r="C3042" t="s">
        <v>1528</v>
      </c>
      <c r="D3042">
        <v>718936</v>
      </c>
      <c r="E3042" t="s">
        <v>1529</v>
      </c>
      <c r="F3042">
        <v>49.951000000000001</v>
      </c>
      <c r="G3042">
        <v>-125.271</v>
      </c>
      <c r="H3042">
        <v>-8</v>
      </c>
      <c r="I3042">
        <v>105.5</v>
      </c>
      <c r="J3042" t="str">
        <f>HYPERLINK("https://climate.onebuilding.org/WMO_Region_4_North_and_Central_America/CAN_Canada/BC_British_Columbia/CAN_BC_Campbell.River.AP.718936_TMYx.2004-2018.zip")</f>
        <v>https://climate.onebuilding.org/WMO_Region_4_North_and_Central_America/CAN_Canada/BC_British_Columbia/CAN_BC_Campbell.River.AP.718936_TMYx.2004-2018.zip</v>
      </c>
    </row>
    <row r="3043" spans="1:10" x14ac:dyDescent="0.25">
      <c r="A3043" t="s">
        <v>6</v>
      </c>
      <c r="B3043" t="s">
        <v>55</v>
      </c>
      <c r="C3043" t="s">
        <v>1528</v>
      </c>
      <c r="D3043">
        <v>718936</v>
      </c>
      <c r="E3043" t="s">
        <v>10</v>
      </c>
      <c r="F3043">
        <v>49.951000000000001</v>
      </c>
      <c r="G3043">
        <v>-125.271</v>
      </c>
      <c r="H3043">
        <v>-8</v>
      </c>
      <c r="I3043">
        <v>105.5</v>
      </c>
      <c r="J3043" t="str">
        <f>HYPERLINK("https://climate.onebuilding.org/WMO_Region_4_North_and_Central_America/CAN_Canada/BC_British_Columbia/CAN_BC_Campbell.River.AP.718936_TMYx.2007-2021.zip")</f>
        <v>https://climate.onebuilding.org/WMO_Region_4_North_and_Central_America/CAN_Canada/BC_British_Columbia/CAN_BC_Campbell.River.AP.718936_TMYx.2007-2021.zip</v>
      </c>
    </row>
    <row r="3044" spans="1:10" x14ac:dyDescent="0.25">
      <c r="A3044" t="s">
        <v>6</v>
      </c>
      <c r="B3044" t="s">
        <v>55</v>
      </c>
      <c r="C3044" t="s">
        <v>1528</v>
      </c>
      <c r="D3044">
        <v>718936</v>
      </c>
      <c r="E3044" t="s">
        <v>10</v>
      </c>
      <c r="F3044">
        <v>49.951000000000001</v>
      </c>
      <c r="G3044">
        <v>-125.271</v>
      </c>
      <c r="H3044">
        <v>-8</v>
      </c>
      <c r="I3044">
        <v>105.5</v>
      </c>
      <c r="J3044" t="str">
        <f>HYPERLINK("https://climate.onebuilding.org/WMO_Region_4_North_and_Central_America/CAN_Canada/BC_British_Columbia/CAN_BC_Campbell.River.AP.718936_TMYx.2009-2023.zip")</f>
        <v>https://climate.onebuilding.org/WMO_Region_4_North_and_Central_America/CAN_Canada/BC_British_Columbia/CAN_BC_Campbell.River.AP.718936_TMYx.2009-2023.zip</v>
      </c>
    </row>
    <row r="3045" spans="1:10" x14ac:dyDescent="0.25">
      <c r="A3045" t="s">
        <v>6</v>
      </c>
      <c r="B3045" t="s">
        <v>55</v>
      </c>
      <c r="C3045" t="s">
        <v>1528</v>
      </c>
      <c r="D3045">
        <v>718936</v>
      </c>
      <c r="E3045" t="s">
        <v>10</v>
      </c>
      <c r="F3045">
        <v>49.951000000000001</v>
      </c>
      <c r="G3045">
        <v>-125.271</v>
      </c>
      <c r="H3045">
        <v>-8</v>
      </c>
      <c r="I3045">
        <v>105.5</v>
      </c>
      <c r="J3045" t="str">
        <f>HYPERLINK("https://climate.onebuilding.org/WMO_Region_4_North_and_Central_America/CAN_Canada/BC_British_Columbia/CAN_BC_Campbell.River.AP.718936_TMYx.zip")</f>
        <v>https://climate.onebuilding.org/WMO_Region_4_North_and_Central_America/CAN_Canada/BC_British_Columbia/CAN_BC_Campbell.River.AP.718936_TMYx.zip</v>
      </c>
    </row>
    <row r="3046" spans="1:10" x14ac:dyDescent="0.25">
      <c r="A3046" t="s">
        <v>6</v>
      </c>
      <c r="B3046" t="s">
        <v>55</v>
      </c>
      <c r="C3046" t="s">
        <v>1530</v>
      </c>
      <c r="D3046">
        <v>718937</v>
      </c>
      <c r="E3046" t="s">
        <v>10</v>
      </c>
      <c r="F3046">
        <v>50.330669999999998</v>
      </c>
      <c r="G3046">
        <v>-125.4391</v>
      </c>
      <c r="H3046">
        <v>-8</v>
      </c>
      <c r="I3046">
        <v>23</v>
      </c>
      <c r="J3046" t="str">
        <f>HYPERLINK("https://climate.onebuilding.org/WMO_Region_4_North_and_Central_America/CAN_Canada/BC_British_Columbia/CAN_BC_Chatham.Point.Lighthouse.718937_TMYx.zip")</f>
        <v>https://climate.onebuilding.org/WMO_Region_4_North_and_Central_America/CAN_Canada/BC_British_Columbia/CAN_BC_Chatham.Point.Lighthouse.718937_TMYx.zip</v>
      </c>
    </row>
    <row r="3047" spans="1:10" x14ac:dyDescent="0.25">
      <c r="A3047" t="s">
        <v>6</v>
      </c>
      <c r="B3047" t="s">
        <v>55</v>
      </c>
      <c r="C3047" t="s">
        <v>1531</v>
      </c>
      <c r="D3047">
        <v>718940</v>
      </c>
      <c r="E3047" t="s">
        <v>1532</v>
      </c>
      <c r="F3047">
        <v>49.383299999999998</v>
      </c>
      <c r="G3047">
        <v>-126.5431</v>
      </c>
      <c r="H3047">
        <v>-8</v>
      </c>
      <c r="I3047">
        <v>8</v>
      </c>
      <c r="J3047" t="str">
        <f>HYPERLINK("https://climate.onebuilding.org/WMO_Region_4_North_and_Central_America/CAN_Canada/BC_British_Columbia/CAN_BC_Estevan.Point.AP.718940_TMYx.2004-2018.zip")</f>
        <v>https://climate.onebuilding.org/WMO_Region_4_North_and_Central_America/CAN_Canada/BC_British_Columbia/CAN_BC_Estevan.Point.AP.718940_TMYx.2004-2018.zip</v>
      </c>
    </row>
    <row r="3048" spans="1:10" x14ac:dyDescent="0.25">
      <c r="A3048" t="s">
        <v>6</v>
      </c>
      <c r="B3048" t="s">
        <v>55</v>
      </c>
      <c r="C3048" t="s">
        <v>1531</v>
      </c>
      <c r="D3048">
        <v>718940</v>
      </c>
      <c r="E3048" t="s">
        <v>10</v>
      </c>
      <c r="F3048">
        <v>49.383299999999998</v>
      </c>
      <c r="G3048">
        <v>-126.5431</v>
      </c>
      <c r="H3048">
        <v>-8</v>
      </c>
      <c r="I3048">
        <v>8</v>
      </c>
      <c r="J3048" t="str">
        <f>HYPERLINK("https://climate.onebuilding.org/WMO_Region_4_North_and_Central_America/CAN_Canada/BC_British_Columbia/CAN_BC_Estevan.Point.AP.718940_TMYx.2007-2021.zip")</f>
        <v>https://climate.onebuilding.org/WMO_Region_4_North_and_Central_America/CAN_Canada/BC_British_Columbia/CAN_BC_Estevan.Point.AP.718940_TMYx.2007-2021.zip</v>
      </c>
    </row>
    <row r="3049" spans="1:10" x14ac:dyDescent="0.25">
      <c r="A3049" t="s">
        <v>6</v>
      </c>
      <c r="B3049" t="s">
        <v>55</v>
      </c>
      <c r="C3049" t="s">
        <v>1531</v>
      </c>
      <c r="D3049">
        <v>718940</v>
      </c>
      <c r="E3049" t="s">
        <v>10</v>
      </c>
      <c r="F3049">
        <v>49.383299999999998</v>
      </c>
      <c r="G3049">
        <v>-126.5431</v>
      </c>
      <c r="H3049">
        <v>-8</v>
      </c>
      <c r="I3049">
        <v>8</v>
      </c>
      <c r="J3049" t="str">
        <f>HYPERLINK("https://climate.onebuilding.org/WMO_Region_4_North_and_Central_America/CAN_Canada/BC_British_Columbia/CAN_BC_Estevan.Point.AP.718940_TMYx.2009-2023.zip")</f>
        <v>https://climate.onebuilding.org/WMO_Region_4_North_and_Central_America/CAN_Canada/BC_British_Columbia/CAN_BC_Estevan.Point.AP.718940_TMYx.2009-2023.zip</v>
      </c>
    </row>
    <row r="3050" spans="1:10" x14ac:dyDescent="0.25">
      <c r="A3050" t="s">
        <v>6</v>
      </c>
      <c r="B3050" t="s">
        <v>55</v>
      </c>
      <c r="C3050" t="s">
        <v>1531</v>
      </c>
      <c r="D3050">
        <v>718940</v>
      </c>
      <c r="E3050" t="s">
        <v>10</v>
      </c>
      <c r="F3050">
        <v>49.383299999999998</v>
      </c>
      <c r="G3050">
        <v>-126.5431</v>
      </c>
      <c r="H3050">
        <v>-8</v>
      </c>
      <c r="I3050">
        <v>8</v>
      </c>
      <c r="J3050" t="str">
        <f>HYPERLINK("https://climate.onebuilding.org/WMO_Region_4_North_and_Central_America/CAN_Canada/BC_British_Columbia/CAN_BC_Estevan.Point.AP.718940_TMYx.zip")</f>
        <v>https://climate.onebuilding.org/WMO_Region_4_North_and_Central_America/CAN_Canada/BC_British_Columbia/CAN_BC_Estevan.Point.AP.718940_TMYx.zip</v>
      </c>
    </row>
    <row r="3051" spans="1:10" x14ac:dyDescent="0.25">
      <c r="A3051" t="s">
        <v>6</v>
      </c>
      <c r="B3051" t="s">
        <v>17</v>
      </c>
      <c r="C3051" t="s">
        <v>1533</v>
      </c>
      <c r="D3051">
        <v>718950</v>
      </c>
      <c r="E3051" t="s">
        <v>1534</v>
      </c>
      <c r="F3051">
        <v>52.966999999999999</v>
      </c>
      <c r="G3051">
        <v>-113.43300000000001</v>
      </c>
      <c r="H3051">
        <v>-7</v>
      </c>
      <c r="I3051">
        <v>774</v>
      </c>
      <c r="J3051" t="str">
        <f>HYPERLINK("https://climate.onebuilding.org/WMO_Region_4_North_and_Central_America/CAN_Canada/AB_Alberta/CAN_AB_Wetaskiwin.AgCM.718950_TMYx.2004-2018.zip")</f>
        <v>https://climate.onebuilding.org/WMO_Region_4_North_and_Central_America/CAN_Canada/AB_Alberta/CAN_AB_Wetaskiwin.AgCM.718950_TMYx.2004-2018.zip</v>
      </c>
    </row>
    <row r="3052" spans="1:10" x14ac:dyDescent="0.25">
      <c r="A3052" t="s">
        <v>6</v>
      </c>
      <c r="B3052" t="s">
        <v>17</v>
      </c>
      <c r="C3052" t="s">
        <v>1533</v>
      </c>
      <c r="D3052">
        <v>718950</v>
      </c>
      <c r="E3052" t="s">
        <v>10</v>
      </c>
      <c r="F3052">
        <v>52.9803</v>
      </c>
      <c r="G3052">
        <v>-113.4442</v>
      </c>
      <c r="H3052">
        <v>-7</v>
      </c>
      <c r="I3052">
        <v>774</v>
      </c>
      <c r="J3052" t="str">
        <f>HYPERLINK("https://climate.onebuilding.org/WMO_Region_4_North_and_Central_America/CAN_Canada/AB_Alberta/CAN_AB_Wetaskiwin.AgCM.718950_TMYx.2007-2021.zip")</f>
        <v>https://climate.onebuilding.org/WMO_Region_4_North_and_Central_America/CAN_Canada/AB_Alberta/CAN_AB_Wetaskiwin.AgCM.718950_TMYx.2007-2021.zip</v>
      </c>
    </row>
    <row r="3053" spans="1:10" x14ac:dyDescent="0.25">
      <c r="A3053" t="s">
        <v>6</v>
      </c>
      <c r="B3053" t="s">
        <v>17</v>
      </c>
      <c r="C3053" t="s">
        <v>1533</v>
      </c>
      <c r="D3053">
        <v>718950</v>
      </c>
      <c r="E3053" t="s">
        <v>10</v>
      </c>
      <c r="F3053">
        <v>52.9803</v>
      </c>
      <c r="G3053">
        <v>-113.4442</v>
      </c>
      <c r="H3053">
        <v>-7</v>
      </c>
      <c r="I3053">
        <v>774</v>
      </c>
      <c r="J3053" t="str">
        <f>HYPERLINK("https://climate.onebuilding.org/WMO_Region_4_North_and_Central_America/CAN_Canada/AB_Alberta/CAN_AB_Wetaskiwin.AgCM.718950_TMYx.2009-2023.zip")</f>
        <v>https://climate.onebuilding.org/WMO_Region_4_North_and_Central_America/CAN_Canada/AB_Alberta/CAN_AB_Wetaskiwin.AgCM.718950_TMYx.2009-2023.zip</v>
      </c>
    </row>
    <row r="3054" spans="1:10" x14ac:dyDescent="0.25">
      <c r="A3054" t="s">
        <v>6</v>
      </c>
      <c r="B3054" t="s">
        <v>17</v>
      </c>
      <c r="C3054" t="s">
        <v>1533</v>
      </c>
      <c r="D3054">
        <v>718950</v>
      </c>
      <c r="E3054" t="s">
        <v>10</v>
      </c>
      <c r="F3054">
        <v>52.9803</v>
      </c>
      <c r="G3054">
        <v>-113.4442</v>
      </c>
      <c r="H3054">
        <v>-7</v>
      </c>
      <c r="I3054">
        <v>774</v>
      </c>
      <c r="J3054" t="str">
        <f>HYPERLINK("https://climate.onebuilding.org/WMO_Region_4_North_and_Central_America/CAN_Canada/AB_Alberta/CAN_AB_Wetaskiwin.AgCM.718950_TMYx.zip")</f>
        <v>https://climate.onebuilding.org/WMO_Region_4_North_and_Central_America/CAN_Canada/AB_Alberta/CAN_AB_Wetaskiwin.AgCM.718950_TMYx.zip</v>
      </c>
    </row>
    <row r="3055" spans="1:10" x14ac:dyDescent="0.25">
      <c r="A3055" t="s">
        <v>6</v>
      </c>
      <c r="B3055" t="s">
        <v>55</v>
      </c>
      <c r="C3055" t="s">
        <v>1535</v>
      </c>
      <c r="D3055">
        <v>718955</v>
      </c>
      <c r="E3055" t="s">
        <v>10</v>
      </c>
      <c r="F3055">
        <v>50.65</v>
      </c>
      <c r="G3055">
        <v>-128.05000000000001</v>
      </c>
      <c r="H3055">
        <v>-8</v>
      </c>
      <c r="I3055">
        <v>579</v>
      </c>
      <c r="J3055" t="str">
        <f>HYPERLINK("https://climate.onebuilding.org/WMO_Region_4_North_and_Central_America/CAN_Canada/BC_British_Columbia/CAN_BC_Holberg.718955_TMYx.zip")</f>
        <v>https://climate.onebuilding.org/WMO_Region_4_North_and_Central_America/CAN_Canada/BC_British_Columbia/CAN_BC_Holberg.718955_TMYx.zip</v>
      </c>
    </row>
    <row r="3056" spans="1:10" x14ac:dyDescent="0.25">
      <c r="A3056" t="s">
        <v>6</v>
      </c>
      <c r="B3056" t="s">
        <v>55</v>
      </c>
      <c r="C3056" t="s">
        <v>1536</v>
      </c>
      <c r="D3056">
        <v>718960</v>
      </c>
      <c r="E3056" t="s">
        <v>1537</v>
      </c>
      <c r="F3056">
        <v>53.8842</v>
      </c>
      <c r="G3056">
        <v>-122.67749999999999</v>
      </c>
      <c r="H3056">
        <v>-8</v>
      </c>
      <c r="I3056">
        <v>691</v>
      </c>
      <c r="J3056" t="str">
        <f>HYPERLINK("https://climate.onebuilding.org/WMO_Region_4_North_and_Central_America/CAN_Canada/BC_British_Columbia/CAN_BC_Prince.George.Intl.AP.718960_TMYx.2004-2018.zip")</f>
        <v>https://climate.onebuilding.org/WMO_Region_4_North_and_Central_America/CAN_Canada/BC_British_Columbia/CAN_BC_Prince.George.Intl.AP.718960_TMYx.2004-2018.zip</v>
      </c>
    </row>
    <row r="3057" spans="1:10" x14ac:dyDescent="0.25">
      <c r="A3057" t="s">
        <v>6</v>
      </c>
      <c r="B3057" t="s">
        <v>55</v>
      </c>
      <c r="C3057" t="s">
        <v>1536</v>
      </c>
      <c r="D3057">
        <v>718960</v>
      </c>
      <c r="E3057" t="s">
        <v>10</v>
      </c>
      <c r="F3057">
        <v>53.889000000000003</v>
      </c>
      <c r="G3057">
        <v>-122.67189999999999</v>
      </c>
      <c r="H3057">
        <v>-8</v>
      </c>
      <c r="I3057">
        <v>691</v>
      </c>
      <c r="J3057" t="str">
        <f>HYPERLINK("https://climate.onebuilding.org/WMO_Region_4_North_and_Central_America/CAN_Canada/BC_British_Columbia/CAN_BC_Prince.George.Intl.AP.718960_TMYx.2007-2021.zip")</f>
        <v>https://climate.onebuilding.org/WMO_Region_4_North_and_Central_America/CAN_Canada/BC_British_Columbia/CAN_BC_Prince.George.Intl.AP.718960_TMYx.2007-2021.zip</v>
      </c>
    </row>
    <row r="3058" spans="1:10" x14ac:dyDescent="0.25">
      <c r="A3058" t="s">
        <v>6</v>
      </c>
      <c r="B3058" t="s">
        <v>55</v>
      </c>
      <c r="C3058" t="s">
        <v>1536</v>
      </c>
      <c r="D3058">
        <v>718960</v>
      </c>
      <c r="E3058" t="s">
        <v>10</v>
      </c>
      <c r="F3058">
        <v>53.889000000000003</v>
      </c>
      <c r="G3058">
        <v>-122.67189999999999</v>
      </c>
      <c r="H3058">
        <v>-8</v>
      </c>
      <c r="I3058">
        <v>691</v>
      </c>
      <c r="J3058" t="str">
        <f>HYPERLINK("https://climate.onebuilding.org/WMO_Region_4_North_and_Central_America/CAN_Canada/BC_British_Columbia/CAN_BC_Prince.George.Intl.AP.718960_TMYx.2009-2023.zip")</f>
        <v>https://climate.onebuilding.org/WMO_Region_4_North_and_Central_America/CAN_Canada/BC_British_Columbia/CAN_BC_Prince.George.Intl.AP.718960_TMYx.2009-2023.zip</v>
      </c>
    </row>
    <row r="3059" spans="1:10" x14ac:dyDescent="0.25">
      <c r="A3059" t="s">
        <v>6</v>
      </c>
      <c r="B3059" t="s">
        <v>55</v>
      </c>
      <c r="C3059" t="s">
        <v>1536</v>
      </c>
      <c r="D3059">
        <v>718960</v>
      </c>
      <c r="E3059" t="s">
        <v>10</v>
      </c>
      <c r="F3059">
        <v>53.889000000000003</v>
      </c>
      <c r="G3059">
        <v>-122.67189999999999</v>
      </c>
      <c r="H3059">
        <v>-8</v>
      </c>
      <c r="I3059">
        <v>691</v>
      </c>
      <c r="J3059" t="str">
        <f>HYPERLINK("https://climate.onebuilding.org/WMO_Region_4_North_and_Central_America/CAN_Canada/BC_British_Columbia/CAN_BC_Prince.George.Intl.AP.718960_TMYx.zip")</f>
        <v>https://climate.onebuilding.org/WMO_Region_4_North_and_Central_America/CAN_Canada/BC_British_Columbia/CAN_BC_Prince.George.Intl.AP.718960_TMYx.zip</v>
      </c>
    </row>
    <row r="3060" spans="1:10" x14ac:dyDescent="0.25">
      <c r="A3060" t="s">
        <v>6</v>
      </c>
      <c r="B3060" t="s">
        <v>14</v>
      </c>
      <c r="C3060" t="s">
        <v>1538</v>
      </c>
      <c r="D3060">
        <v>718964</v>
      </c>
      <c r="E3060" t="s">
        <v>1539</v>
      </c>
      <c r="F3060">
        <v>51.482999999999997</v>
      </c>
      <c r="G3060">
        <v>-78.75</v>
      </c>
      <c r="H3060">
        <v>-5</v>
      </c>
      <c r="I3060">
        <v>23</v>
      </c>
      <c r="J3060" t="str">
        <f>HYPERLINK("https://climate.onebuilding.org/WMO_Region_4_North_and_Central_America/CAN_Canada/QC_Quebec/CAN_QC_Fort.Rupert-Waskaganish.AP.718964_TMYx.2004-2018.zip")</f>
        <v>https://climate.onebuilding.org/WMO_Region_4_North_and_Central_America/CAN_Canada/QC_Quebec/CAN_QC_Fort.Rupert-Waskaganish.AP.718964_TMYx.2004-2018.zip</v>
      </c>
    </row>
    <row r="3061" spans="1:10" x14ac:dyDescent="0.25">
      <c r="A3061" t="s">
        <v>6</v>
      </c>
      <c r="B3061" t="s">
        <v>14</v>
      </c>
      <c r="C3061" t="s">
        <v>1538</v>
      </c>
      <c r="D3061">
        <v>718964</v>
      </c>
      <c r="E3061" t="s">
        <v>10</v>
      </c>
      <c r="F3061">
        <v>51.475999999999999</v>
      </c>
      <c r="G3061">
        <v>-78.7517</v>
      </c>
      <c r="H3061">
        <v>-5</v>
      </c>
      <c r="I3061">
        <v>23</v>
      </c>
      <c r="J3061" t="str">
        <f>HYPERLINK("https://climate.onebuilding.org/WMO_Region_4_North_and_Central_America/CAN_Canada/QC_Quebec/CAN_QC_Fort.Rupert-Waskaganish.AP.718964_TMYx.2007-2021.zip")</f>
        <v>https://climate.onebuilding.org/WMO_Region_4_North_and_Central_America/CAN_Canada/QC_Quebec/CAN_QC_Fort.Rupert-Waskaganish.AP.718964_TMYx.2007-2021.zip</v>
      </c>
    </row>
    <row r="3062" spans="1:10" x14ac:dyDescent="0.25">
      <c r="A3062" t="s">
        <v>6</v>
      </c>
      <c r="B3062" t="s">
        <v>14</v>
      </c>
      <c r="C3062" t="s">
        <v>1538</v>
      </c>
      <c r="D3062">
        <v>718964</v>
      </c>
      <c r="E3062" t="s">
        <v>10</v>
      </c>
      <c r="F3062">
        <v>51.475999999999999</v>
      </c>
      <c r="G3062">
        <v>-78.7517</v>
      </c>
      <c r="H3062">
        <v>-5</v>
      </c>
      <c r="I3062">
        <v>23</v>
      </c>
      <c r="J3062" t="str">
        <f>HYPERLINK("https://climate.onebuilding.org/WMO_Region_4_North_and_Central_America/CAN_Canada/QC_Quebec/CAN_QC_Fort.Rupert-Waskaganish.AP.718964_TMYx.2009-2023.zip")</f>
        <v>https://climate.onebuilding.org/WMO_Region_4_North_and_Central_America/CAN_Canada/QC_Quebec/CAN_QC_Fort.Rupert-Waskaganish.AP.718964_TMYx.2009-2023.zip</v>
      </c>
    </row>
    <row r="3063" spans="1:10" x14ac:dyDescent="0.25">
      <c r="A3063" t="s">
        <v>6</v>
      </c>
      <c r="B3063" t="s">
        <v>14</v>
      </c>
      <c r="C3063" t="s">
        <v>1538</v>
      </c>
      <c r="D3063">
        <v>718964</v>
      </c>
      <c r="E3063" t="s">
        <v>10</v>
      </c>
      <c r="F3063">
        <v>51.475999999999999</v>
      </c>
      <c r="G3063">
        <v>-78.7517</v>
      </c>
      <c r="H3063">
        <v>-5</v>
      </c>
      <c r="I3063">
        <v>23</v>
      </c>
      <c r="J3063" t="str">
        <f>HYPERLINK("https://climate.onebuilding.org/WMO_Region_4_North_and_Central_America/CAN_Canada/QC_Quebec/CAN_QC_Fort.Rupert-Waskaganish.AP.718964_TMYx.zip")</f>
        <v>https://climate.onebuilding.org/WMO_Region_4_North_and_Central_America/CAN_Canada/QC_Quebec/CAN_QC_Fort.Rupert-Waskaganish.AP.718964_TMYx.zip</v>
      </c>
    </row>
    <row r="3064" spans="1:10" x14ac:dyDescent="0.25">
      <c r="A3064" t="s">
        <v>6</v>
      </c>
      <c r="B3064" t="s">
        <v>55</v>
      </c>
      <c r="C3064" t="s">
        <v>1540</v>
      </c>
      <c r="D3064">
        <v>718970</v>
      </c>
      <c r="E3064" t="s">
        <v>1541</v>
      </c>
      <c r="F3064">
        <v>52.25</v>
      </c>
      <c r="G3064">
        <v>-128.71700000000001</v>
      </c>
      <c r="H3064">
        <v>-8</v>
      </c>
      <c r="I3064">
        <v>26</v>
      </c>
      <c r="J3064" t="str">
        <f>HYPERLINK("https://climate.onebuilding.org/WMO_Region_4_North_and_Central_America/CAN_Canada/BC_British_Columbia/CAN_BC_McInnes.Island.718970_TMYx.2004-2018.zip")</f>
        <v>https://climate.onebuilding.org/WMO_Region_4_North_and_Central_America/CAN_Canada/BC_British_Columbia/CAN_BC_McInnes.Island.718970_TMYx.2004-2018.zip</v>
      </c>
    </row>
    <row r="3065" spans="1:10" x14ac:dyDescent="0.25">
      <c r="A3065" t="s">
        <v>6</v>
      </c>
      <c r="B3065" t="s">
        <v>55</v>
      </c>
      <c r="C3065" t="s">
        <v>1540</v>
      </c>
      <c r="D3065">
        <v>718970</v>
      </c>
      <c r="E3065" t="s">
        <v>10</v>
      </c>
      <c r="F3065">
        <v>52.261670000000002</v>
      </c>
      <c r="G3065">
        <v>-128.71979999999999</v>
      </c>
      <c r="H3065">
        <v>-8</v>
      </c>
      <c r="I3065">
        <v>26</v>
      </c>
      <c r="J3065" t="str">
        <f>HYPERLINK("https://climate.onebuilding.org/WMO_Region_4_North_and_Central_America/CAN_Canada/BC_British_Columbia/CAN_BC_McInnes.Island.718970_TMYx.2007-2021.zip")</f>
        <v>https://climate.onebuilding.org/WMO_Region_4_North_and_Central_America/CAN_Canada/BC_British_Columbia/CAN_BC_McInnes.Island.718970_TMYx.2007-2021.zip</v>
      </c>
    </row>
    <row r="3066" spans="1:10" x14ac:dyDescent="0.25">
      <c r="A3066" t="s">
        <v>6</v>
      </c>
      <c r="B3066" t="s">
        <v>55</v>
      </c>
      <c r="C3066" t="s">
        <v>1540</v>
      </c>
      <c r="D3066">
        <v>718970</v>
      </c>
      <c r="E3066" t="s">
        <v>10</v>
      </c>
      <c r="F3066">
        <v>52.261670000000002</v>
      </c>
      <c r="G3066">
        <v>-128.71979999999999</v>
      </c>
      <c r="H3066">
        <v>-8</v>
      </c>
      <c r="I3066">
        <v>26</v>
      </c>
      <c r="J3066" t="str">
        <f>HYPERLINK("https://climate.onebuilding.org/WMO_Region_4_North_and_Central_America/CAN_Canada/BC_British_Columbia/CAN_BC_McInnes.Island.718970_TMYx.2009-2023.zip")</f>
        <v>https://climate.onebuilding.org/WMO_Region_4_North_and_Central_America/CAN_Canada/BC_British_Columbia/CAN_BC_McInnes.Island.718970_TMYx.2009-2023.zip</v>
      </c>
    </row>
    <row r="3067" spans="1:10" x14ac:dyDescent="0.25">
      <c r="A3067" t="s">
        <v>6</v>
      </c>
      <c r="B3067" t="s">
        <v>55</v>
      </c>
      <c r="C3067" t="s">
        <v>1540</v>
      </c>
      <c r="D3067">
        <v>718970</v>
      </c>
      <c r="E3067" t="s">
        <v>10</v>
      </c>
      <c r="F3067">
        <v>52.261670000000002</v>
      </c>
      <c r="G3067">
        <v>-128.71979999999999</v>
      </c>
      <c r="H3067">
        <v>-8</v>
      </c>
      <c r="I3067">
        <v>26</v>
      </c>
      <c r="J3067" t="str">
        <f>HYPERLINK("https://climate.onebuilding.org/WMO_Region_4_North_and_Central_America/CAN_Canada/BC_British_Columbia/CAN_BC_McInnes.Island.718970_TMYx.zip")</f>
        <v>https://climate.onebuilding.org/WMO_Region_4_North_and_Central_America/CAN_Canada/BC_British_Columbia/CAN_BC_McInnes.Island.718970_TMYx.zip</v>
      </c>
    </row>
    <row r="3068" spans="1:10" x14ac:dyDescent="0.25">
      <c r="A3068" t="s">
        <v>6</v>
      </c>
      <c r="B3068" t="s">
        <v>11</v>
      </c>
      <c r="C3068" t="s">
        <v>1542</v>
      </c>
      <c r="D3068">
        <v>719000</v>
      </c>
      <c r="E3068" t="s">
        <v>1543</v>
      </c>
      <c r="F3068">
        <v>55.45</v>
      </c>
      <c r="G3068">
        <v>-60.216700000000003</v>
      </c>
      <c r="H3068">
        <v>-4</v>
      </c>
      <c r="I3068">
        <v>10.1</v>
      </c>
      <c r="J3068" t="str">
        <f>HYPERLINK("https://climate.onebuilding.org/WMO_Region_4_North_and_Central_America/CAN_Canada/NL_Newfoundland_and_Labrador/CAN_NL_Hopedale.AP.719000_TMYx.2004-2018.zip")</f>
        <v>https://climate.onebuilding.org/WMO_Region_4_North_and_Central_America/CAN_Canada/NL_Newfoundland_and_Labrador/CAN_NL_Hopedale.AP.719000_TMYx.2004-2018.zip</v>
      </c>
    </row>
    <row r="3069" spans="1:10" x14ac:dyDescent="0.25">
      <c r="A3069" t="s">
        <v>6</v>
      </c>
      <c r="B3069" t="s">
        <v>11</v>
      </c>
      <c r="C3069" t="s">
        <v>1542</v>
      </c>
      <c r="D3069">
        <v>719000</v>
      </c>
      <c r="E3069" t="s">
        <v>10</v>
      </c>
      <c r="F3069">
        <v>55.448999999999998</v>
      </c>
      <c r="G3069">
        <v>-60.228000000000002</v>
      </c>
      <c r="H3069">
        <v>-4</v>
      </c>
      <c r="I3069">
        <v>10.1</v>
      </c>
      <c r="J3069" t="str">
        <f>HYPERLINK("https://climate.onebuilding.org/WMO_Region_4_North_and_Central_America/CAN_Canada/NL_Newfoundland_and_Labrador/CAN_NL_Hopedale.AP.719000_TMYx.2007-2021.zip")</f>
        <v>https://climate.onebuilding.org/WMO_Region_4_North_and_Central_America/CAN_Canada/NL_Newfoundland_and_Labrador/CAN_NL_Hopedale.AP.719000_TMYx.2007-2021.zip</v>
      </c>
    </row>
    <row r="3070" spans="1:10" x14ac:dyDescent="0.25">
      <c r="A3070" t="s">
        <v>6</v>
      </c>
      <c r="B3070" t="s">
        <v>11</v>
      </c>
      <c r="C3070" t="s">
        <v>1542</v>
      </c>
      <c r="D3070">
        <v>719000</v>
      </c>
      <c r="E3070" t="s">
        <v>10</v>
      </c>
      <c r="F3070">
        <v>55.448999999999998</v>
      </c>
      <c r="G3070">
        <v>-60.228000000000002</v>
      </c>
      <c r="H3070">
        <v>-4</v>
      </c>
      <c r="I3070">
        <v>10.1</v>
      </c>
      <c r="J3070" t="str">
        <f>HYPERLINK("https://climate.onebuilding.org/WMO_Region_4_North_and_Central_America/CAN_Canada/NL_Newfoundland_and_Labrador/CAN_NL_Hopedale.AP.719000_TMYx.2009-2023.zip")</f>
        <v>https://climate.onebuilding.org/WMO_Region_4_North_and_Central_America/CAN_Canada/NL_Newfoundland_and_Labrador/CAN_NL_Hopedale.AP.719000_TMYx.2009-2023.zip</v>
      </c>
    </row>
    <row r="3071" spans="1:10" x14ac:dyDescent="0.25">
      <c r="A3071" t="s">
        <v>6</v>
      </c>
      <c r="B3071" t="s">
        <v>11</v>
      </c>
      <c r="C3071" t="s">
        <v>1542</v>
      </c>
      <c r="D3071">
        <v>719000</v>
      </c>
      <c r="E3071" t="s">
        <v>10</v>
      </c>
      <c r="F3071">
        <v>55.448999999999998</v>
      </c>
      <c r="G3071">
        <v>-60.228000000000002</v>
      </c>
      <c r="H3071">
        <v>-4</v>
      </c>
      <c r="I3071">
        <v>10.1</v>
      </c>
      <c r="J3071" t="str">
        <f>HYPERLINK("https://climate.onebuilding.org/WMO_Region_4_North_and_Central_America/CAN_Canada/NL_Newfoundland_and_Labrador/CAN_NL_Hopedale.AP.719000_TMYx.zip")</f>
        <v>https://climate.onebuilding.org/WMO_Region_4_North_and_Central_America/CAN_Canada/NL_Newfoundland_and_Labrador/CAN_NL_Hopedale.AP.719000_TMYx.zip</v>
      </c>
    </row>
    <row r="3072" spans="1:10" x14ac:dyDescent="0.25">
      <c r="A3072" t="s">
        <v>6</v>
      </c>
      <c r="B3072" t="s">
        <v>14</v>
      </c>
      <c r="C3072" t="s">
        <v>1544</v>
      </c>
      <c r="D3072">
        <v>719010</v>
      </c>
      <c r="E3072" t="s">
        <v>10</v>
      </c>
      <c r="F3072">
        <v>55.332999999999998</v>
      </c>
      <c r="G3072">
        <v>-63.201999999999998</v>
      </c>
      <c r="H3072">
        <v>-4</v>
      </c>
      <c r="I3072">
        <v>479</v>
      </c>
      <c r="J3072" t="str">
        <f>HYPERLINK("https://climate.onebuilding.org/WMO_Region_4_North_and_Central_America/CAN_Canada/QC_Quebec/CAN_QC_Border.719010_TMYx.zip")</f>
        <v>https://climate.onebuilding.org/WMO_Region_4_North_and_Central_America/CAN_Canada/QC_Quebec/CAN_QC_Border.719010_TMYx.zip</v>
      </c>
    </row>
    <row r="3073" spans="1:10" x14ac:dyDescent="0.25">
      <c r="A3073" t="s">
        <v>6</v>
      </c>
      <c r="B3073" t="s">
        <v>11</v>
      </c>
      <c r="C3073" t="s">
        <v>1545</v>
      </c>
      <c r="D3073">
        <v>719020</v>
      </c>
      <c r="E3073" t="s">
        <v>1546</v>
      </c>
      <c r="F3073">
        <v>56.55</v>
      </c>
      <c r="G3073">
        <v>-61.683300000000003</v>
      </c>
      <c r="H3073">
        <v>-4</v>
      </c>
      <c r="I3073">
        <v>6.7</v>
      </c>
      <c r="J3073" t="str">
        <f>HYPERLINK("https://climate.onebuilding.org/WMO_Region_4_North_and_Central_America/CAN_Canada/NL_Newfoundland_and_Labrador/CAN_NL_Nain.AP.719020_TMYx.2004-2018.zip")</f>
        <v>https://climate.onebuilding.org/WMO_Region_4_North_and_Central_America/CAN_Canada/NL_Newfoundland_and_Labrador/CAN_NL_Nain.AP.719020_TMYx.2004-2018.zip</v>
      </c>
    </row>
    <row r="3074" spans="1:10" x14ac:dyDescent="0.25">
      <c r="A3074" t="s">
        <v>6</v>
      </c>
      <c r="B3074" t="s">
        <v>11</v>
      </c>
      <c r="C3074" t="s">
        <v>1545</v>
      </c>
      <c r="D3074">
        <v>719020</v>
      </c>
      <c r="E3074" t="s">
        <v>10</v>
      </c>
      <c r="F3074">
        <v>56.55</v>
      </c>
      <c r="G3074">
        <v>-61.683300000000003</v>
      </c>
      <c r="H3074">
        <v>-4</v>
      </c>
      <c r="I3074">
        <v>6.7</v>
      </c>
      <c r="J3074" t="str">
        <f>HYPERLINK("https://climate.onebuilding.org/WMO_Region_4_North_and_Central_America/CAN_Canada/NL_Newfoundland_and_Labrador/CAN_NL_Nain.AP.719020_TMYx.2007-2021.zip")</f>
        <v>https://climate.onebuilding.org/WMO_Region_4_North_and_Central_America/CAN_Canada/NL_Newfoundland_and_Labrador/CAN_NL_Nain.AP.719020_TMYx.2007-2021.zip</v>
      </c>
    </row>
    <row r="3075" spans="1:10" x14ac:dyDescent="0.25">
      <c r="A3075" t="s">
        <v>6</v>
      </c>
      <c r="B3075" t="s">
        <v>11</v>
      </c>
      <c r="C3075" t="s">
        <v>1545</v>
      </c>
      <c r="D3075">
        <v>719020</v>
      </c>
      <c r="E3075" t="s">
        <v>10</v>
      </c>
      <c r="F3075">
        <v>56.55</v>
      </c>
      <c r="G3075">
        <v>-61.683300000000003</v>
      </c>
      <c r="H3075">
        <v>-4</v>
      </c>
      <c r="I3075">
        <v>6.7</v>
      </c>
      <c r="J3075" t="str">
        <f>HYPERLINK("https://climate.onebuilding.org/WMO_Region_4_North_and_Central_America/CAN_Canada/NL_Newfoundland_and_Labrador/CAN_NL_Nain.AP.719020_TMYx.2009-2023.zip")</f>
        <v>https://climate.onebuilding.org/WMO_Region_4_North_and_Central_America/CAN_Canada/NL_Newfoundland_and_Labrador/CAN_NL_Nain.AP.719020_TMYx.2009-2023.zip</v>
      </c>
    </row>
    <row r="3076" spans="1:10" x14ac:dyDescent="0.25">
      <c r="A3076" t="s">
        <v>6</v>
      </c>
      <c r="B3076" t="s">
        <v>11</v>
      </c>
      <c r="C3076" t="s">
        <v>1545</v>
      </c>
      <c r="D3076">
        <v>719020</v>
      </c>
      <c r="E3076" t="s">
        <v>10</v>
      </c>
      <c r="F3076">
        <v>56.55</v>
      </c>
      <c r="G3076">
        <v>-61.683300000000003</v>
      </c>
      <c r="H3076">
        <v>-4</v>
      </c>
      <c r="I3076">
        <v>6.7</v>
      </c>
      <c r="J3076" t="str">
        <f>HYPERLINK("https://climate.onebuilding.org/WMO_Region_4_North_and_Central_America/CAN_Canada/NL_Newfoundland_and_Labrador/CAN_NL_Nain.AP.719020_TMYx.zip")</f>
        <v>https://climate.onebuilding.org/WMO_Region_4_North_and_Central_America/CAN_Canada/NL_Newfoundland_and_Labrador/CAN_NL_Nain.AP.719020_TMYx.zip</v>
      </c>
    </row>
    <row r="3077" spans="1:10" x14ac:dyDescent="0.25">
      <c r="A3077" t="s">
        <v>6</v>
      </c>
      <c r="B3077" t="s">
        <v>55</v>
      </c>
      <c r="C3077" t="s">
        <v>1547</v>
      </c>
      <c r="D3077">
        <v>719030</v>
      </c>
      <c r="E3077" t="s">
        <v>1548</v>
      </c>
      <c r="F3077">
        <v>54.255299999999998</v>
      </c>
      <c r="G3077">
        <v>-133.05860000000001</v>
      </c>
      <c r="H3077">
        <v>-8</v>
      </c>
      <c r="I3077">
        <v>49</v>
      </c>
      <c r="J3077" t="str">
        <f>HYPERLINK("https://climate.onebuilding.org/WMO_Region_4_North_and_Central_America/CAN_Canada/BC_British_Columbia/CAN_BC_Langara.Island.RCS.719030_TMYx.2004-2018.zip")</f>
        <v>https://climate.onebuilding.org/WMO_Region_4_North_and_Central_America/CAN_Canada/BC_British_Columbia/CAN_BC_Langara.Island.RCS.719030_TMYx.2004-2018.zip</v>
      </c>
    </row>
    <row r="3078" spans="1:10" x14ac:dyDescent="0.25">
      <c r="A3078" t="s">
        <v>6</v>
      </c>
      <c r="B3078" t="s">
        <v>55</v>
      </c>
      <c r="C3078" t="s">
        <v>1547</v>
      </c>
      <c r="D3078">
        <v>719030</v>
      </c>
      <c r="E3078" t="s">
        <v>10</v>
      </c>
      <c r="F3078">
        <v>54.255299999999998</v>
      </c>
      <c r="G3078">
        <v>-133.05860000000001</v>
      </c>
      <c r="H3078">
        <v>-8</v>
      </c>
      <c r="I3078">
        <v>49</v>
      </c>
      <c r="J3078" t="str">
        <f>HYPERLINK("https://climate.onebuilding.org/WMO_Region_4_North_and_Central_America/CAN_Canada/BC_British_Columbia/CAN_BC_Langara.Island.RCS.719030_TMYx.2007-2021.zip")</f>
        <v>https://climate.onebuilding.org/WMO_Region_4_North_and_Central_America/CAN_Canada/BC_British_Columbia/CAN_BC_Langara.Island.RCS.719030_TMYx.2007-2021.zip</v>
      </c>
    </row>
    <row r="3079" spans="1:10" x14ac:dyDescent="0.25">
      <c r="A3079" t="s">
        <v>6</v>
      </c>
      <c r="B3079" t="s">
        <v>55</v>
      </c>
      <c r="C3079" t="s">
        <v>1547</v>
      </c>
      <c r="D3079">
        <v>719030</v>
      </c>
      <c r="E3079" t="s">
        <v>10</v>
      </c>
      <c r="F3079">
        <v>54.255299999999998</v>
      </c>
      <c r="G3079">
        <v>-133.05860000000001</v>
      </c>
      <c r="H3079">
        <v>-8</v>
      </c>
      <c r="I3079">
        <v>49</v>
      </c>
      <c r="J3079" t="str">
        <f>HYPERLINK("https://climate.onebuilding.org/WMO_Region_4_North_and_Central_America/CAN_Canada/BC_British_Columbia/CAN_BC_Langara.Island.RCS.719030_TMYx.2009-2023.zip")</f>
        <v>https://climate.onebuilding.org/WMO_Region_4_North_and_Central_America/CAN_Canada/BC_British_Columbia/CAN_BC_Langara.Island.RCS.719030_TMYx.2009-2023.zip</v>
      </c>
    </row>
    <row r="3080" spans="1:10" x14ac:dyDescent="0.25">
      <c r="A3080" t="s">
        <v>6</v>
      </c>
      <c r="B3080" t="s">
        <v>55</v>
      </c>
      <c r="C3080" t="s">
        <v>1547</v>
      </c>
      <c r="D3080">
        <v>719030</v>
      </c>
      <c r="E3080" t="s">
        <v>10</v>
      </c>
      <c r="F3080">
        <v>54.255299999999998</v>
      </c>
      <c r="G3080">
        <v>-133.05860000000001</v>
      </c>
      <c r="H3080">
        <v>-8</v>
      </c>
      <c r="I3080">
        <v>49</v>
      </c>
      <c r="J3080" t="str">
        <f>HYPERLINK("https://climate.onebuilding.org/WMO_Region_4_North_and_Central_America/CAN_Canada/BC_British_Columbia/CAN_BC_Langara.Island.RCS.719030_TMYx.zip")</f>
        <v>https://climate.onebuilding.org/WMO_Region_4_North_and_Central_America/CAN_Canada/BC_British_Columbia/CAN_BC_Langara.Island.RCS.719030_TMYx.zip</v>
      </c>
    </row>
    <row r="3081" spans="1:10" x14ac:dyDescent="0.25">
      <c r="A3081" t="s">
        <v>6</v>
      </c>
      <c r="B3081" t="s">
        <v>14</v>
      </c>
      <c r="C3081" t="s">
        <v>1549</v>
      </c>
      <c r="D3081">
        <v>719035</v>
      </c>
      <c r="E3081" t="s">
        <v>1550</v>
      </c>
      <c r="F3081">
        <v>61.045999999999999</v>
      </c>
      <c r="G3081">
        <v>-69.617999999999995</v>
      </c>
      <c r="H3081">
        <v>-5</v>
      </c>
      <c r="I3081">
        <v>32</v>
      </c>
      <c r="J3081" t="str">
        <f>HYPERLINK("https://climate.onebuilding.org/WMO_Region_4_North_and_Central_America/CAN_Canada/QC_Quebec/CAN_QC_Quaqtaq.AP.719035_TMYx.2004-2018.zip")</f>
        <v>https://climate.onebuilding.org/WMO_Region_4_North_and_Central_America/CAN_Canada/QC_Quebec/CAN_QC_Quaqtaq.AP.719035_TMYx.2004-2018.zip</v>
      </c>
    </row>
    <row r="3082" spans="1:10" x14ac:dyDescent="0.25">
      <c r="A3082" t="s">
        <v>6</v>
      </c>
      <c r="B3082" t="s">
        <v>14</v>
      </c>
      <c r="C3082" t="s">
        <v>1549</v>
      </c>
      <c r="D3082">
        <v>719035</v>
      </c>
      <c r="E3082" t="s">
        <v>10</v>
      </c>
      <c r="F3082">
        <v>61.048999999999999</v>
      </c>
      <c r="G3082">
        <v>-69.621700000000004</v>
      </c>
      <c r="H3082">
        <v>-5</v>
      </c>
      <c r="I3082">
        <v>32</v>
      </c>
      <c r="J3082" t="str">
        <f>HYPERLINK("https://climate.onebuilding.org/WMO_Region_4_North_and_Central_America/CAN_Canada/QC_Quebec/CAN_QC_Quaqtaq.AP.719035_TMYx.2007-2021.zip")</f>
        <v>https://climate.onebuilding.org/WMO_Region_4_North_and_Central_America/CAN_Canada/QC_Quebec/CAN_QC_Quaqtaq.AP.719035_TMYx.2007-2021.zip</v>
      </c>
    </row>
    <row r="3083" spans="1:10" x14ac:dyDescent="0.25">
      <c r="A3083" t="s">
        <v>6</v>
      </c>
      <c r="B3083" t="s">
        <v>14</v>
      </c>
      <c r="C3083" t="s">
        <v>1549</v>
      </c>
      <c r="D3083">
        <v>719035</v>
      </c>
      <c r="E3083" t="s">
        <v>10</v>
      </c>
      <c r="F3083">
        <v>61.048999999999999</v>
      </c>
      <c r="G3083">
        <v>-69.621700000000004</v>
      </c>
      <c r="H3083">
        <v>-5</v>
      </c>
      <c r="I3083">
        <v>32</v>
      </c>
      <c r="J3083" t="str">
        <f>HYPERLINK("https://climate.onebuilding.org/WMO_Region_4_North_and_Central_America/CAN_Canada/QC_Quebec/CAN_QC_Quaqtaq.AP.719035_TMYx.2009-2023.zip")</f>
        <v>https://climate.onebuilding.org/WMO_Region_4_North_and_Central_America/CAN_Canada/QC_Quebec/CAN_QC_Quaqtaq.AP.719035_TMYx.2009-2023.zip</v>
      </c>
    </row>
    <row r="3084" spans="1:10" x14ac:dyDescent="0.25">
      <c r="A3084" t="s">
        <v>6</v>
      </c>
      <c r="B3084" t="s">
        <v>14</v>
      </c>
      <c r="C3084" t="s">
        <v>1549</v>
      </c>
      <c r="D3084">
        <v>719035</v>
      </c>
      <c r="E3084" t="s">
        <v>10</v>
      </c>
      <c r="F3084">
        <v>61.048999999999999</v>
      </c>
      <c r="G3084">
        <v>-69.621700000000004</v>
      </c>
      <c r="H3084">
        <v>-5</v>
      </c>
      <c r="I3084">
        <v>32</v>
      </c>
      <c r="J3084" t="str">
        <f>HYPERLINK("https://climate.onebuilding.org/WMO_Region_4_North_and_Central_America/CAN_Canada/QC_Quebec/CAN_QC_Quaqtaq.AP.719035_TMYx.zip")</f>
        <v>https://climate.onebuilding.org/WMO_Region_4_North_and_Central_America/CAN_Canada/QC_Quebec/CAN_QC_Quaqtaq.AP.719035_TMYx.zip</v>
      </c>
    </row>
    <row r="3085" spans="1:10" x14ac:dyDescent="0.25">
      <c r="A3085" t="s">
        <v>6</v>
      </c>
      <c r="B3085" t="s">
        <v>17</v>
      </c>
      <c r="C3085" t="s">
        <v>1551</v>
      </c>
      <c r="D3085">
        <v>719040</v>
      </c>
      <c r="E3085" t="s">
        <v>1552</v>
      </c>
      <c r="F3085">
        <v>51.9358</v>
      </c>
      <c r="G3085">
        <v>-113.5908</v>
      </c>
      <c r="H3085">
        <v>-7</v>
      </c>
      <c r="I3085">
        <v>940</v>
      </c>
      <c r="J3085" t="str">
        <f>HYPERLINK("https://climate.onebuilding.org/WMO_Region_4_North_and_Central_America/CAN_Canada/AB_Alberta/CAN_AB_Wimborne.AgCM.719040_TMYx.2004-2018.zip")</f>
        <v>https://climate.onebuilding.org/WMO_Region_4_North_and_Central_America/CAN_Canada/AB_Alberta/CAN_AB_Wimborne.AgCM.719040_TMYx.2004-2018.zip</v>
      </c>
    </row>
    <row r="3086" spans="1:10" x14ac:dyDescent="0.25">
      <c r="A3086" t="s">
        <v>6</v>
      </c>
      <c r="B3086" t="s">
        <v>17</v>
      </c>
      <c r="C3086" t="s">
        <v>1551</v>
      </c>
      <c r="D3086">
        <v>719040</v>
      </c>
      <c r="E3086" t="s">
        <v>10</v>
      </c>
      <c r="F3086">
        <v>51.9358</v>
      </c>
      <c r="G3086">
        <v>-113.5908</v>
      </c>
      <c r="H3086">
        <v>-7</v>
      </c>
      <c r="I3086">
        <v>940</v>
      </c>
      <c r="J3086" t="str">
        <f>HYPERLINK("https://climate.onebuilding.org/WMO_Region_4_North_and_Central_America/CAN_Canada/AB_Alberta/CAN_AB_Wimborne.AgCM.719040_TMYx.2007-2021.zip")</f>
        <v>https://climate.onebuilding.org/WMO_Region_4_North_and_Central_America/CAN_Canada/AB_Alberta/CAN_AB_Wimborne.AgCM.719040_TMYx.2007-2021.zip</v>
      </c>
    </row>
    <row r="3087" spans="1:10" x14ac:dyDescent="0.25">
      <c r="A3087" t="s">
        <v>6</v>
      </c>
      <c r="B3087" t="s">
        <v>17</v>
      </c>
      <c r="C3087" t="s">
        <v>1551</v>
      </c>
      <c r="D3087">
        <v>719040</v>
      </c>
      <c r="E3087" t="s">
        <v>10</v>
      </c>
      <c r="F3087">
        <v>51.9358</v>
      </c>
      <c r="G3087">
        <v>-113.5908</v>
      </c>
      <c r="H3087">
        <v>-7</v>
      </c>
      <c r="I3087">
        <v>940</v>
      </c>
      <c r="J3087" t="str">
        <f>HYPERLINK("https://climate.onebuilding.org/WMO_Region_4_North_and_Central_America/CAN_Canada/AB_Alberta/CAN_AB_Wimborne.AgCM.719040_TMYx.2009-2023.zip")</f>
        <v>https://climate.onebuilding.org/WMO_Region_4_North_and_Central_America/CAN_Canada/AB_Alberta/CAN_AB_Wimborne.AgCM.719040_TMYx.2009-2023.zip</v>
      </c>
    </row>
    <row r="3088" spans="1:10" x14ac:dyDescent="0.25">
      <c r="A3088" t="s">
        <v>6</v>
      </c>
      <c r="B3088" t="s">
        <v>17</v>
      </c>
      <c r="C3088" t="s">
        <v>1551</v>
      </c>
      <c r="D3088">
        <v>719040</v>
      </c>
      <c r="E3088" t="s">
        <v>10</v>
      </c>
      <c r="F3088">
        <v>51.9358</v>
      </c>
      <c r="G3088">
        <v>-113.5908</v>
      </c>
      <c r="H3088">
        <v>-7</v>
      </c>
      <c r="I3088">
        <v>940</v>
      </c>
      <c r="J3088" t="str">
        <f>HYPERLINK("https://climate.onebuilding.org/WMO_Region_4_North_and_Central_America/CAN_Canada/AB_Alberta/CAN_AB_Wimborne.AgCM.719040_TMYx.zip")</f>
        <v>https://climate.onebuilding.org/WMO_Region_4_North_and_Central_America/CAN_Canada/AB_Alberta/CAN_AB_Wimborne.AgCM.719040_TMYx.zip</v>
      </c>
    </row>
    <row r="3089" spans="1:10" x14ac:dyDescent="0.25">
      <c r="A3089" t="s">
        <v>6</v>
      </c>
      <c r="B3089" t="s">
        <v>14</v>
      </c>
      <c r="C3089" t="s">
        <v>1553</v>
      </c>
      <c r="D3089">
        <v>719043</v>
      </c>
      <c r="E3089" t="s">
        <v>1554</v>
      </c>
      <c r="F3089">
        <v>60.033000000000001</v>
      </c>
      <c r="G3089">
        <v>-70</v>
      </c>
      <c r="H3089">
        <v>-5</v>
      </c>
      <c r="I3089">
        <v>123</v>
      </c>
      <c r="J3089" t="str">
        <f>HYPERLINK("https://climate.onebuilding.org/WMO_Region_4_North_and_Central_America/CAN_Canada/QC_Quebec/CAN_QC_Kangirsuk.AP.719043_TMYx.2004-2018.zip")</f>
        <v>https://climate.onebuilding.org/WMO_Region_4_North_and_Central_America/CAN_Canada/QC_Quebec/CAN_QC_Kangirsuk.AP.719043_TMYx.2004-2018.zip</v>
      </c>
    </row>
    <row r="3090" spans="1:10" x14ac:dyDescent="0.25">
      <c r="A3090" t="s">
        <v>6</v>
      </c>
      <c r="B3090" t="s">
        <v>14</v>
      </c>
      <c r="C3090" t="s">
        <v>1553</v>
      </c>
      <c r="D3090">
        <v>719043</v>
      </c>
      <c r="E3090" t="s">
        <v>10</v>
      </c>
      <c r="F3090">
        <v>60.033000000000001</v>
      </c>
      <c r="G3090">
        <v>-70</v>
      </c>
      <c r="H3090">
        <v>-5</v>
      </c>
      <c r="I3090">
        <v>123</v>
      </c>
      <c r="J3090" t="str">
        <f>HYPERLINK("https://climate.onebuilding.org/WMO_Region_4_North_and_Central_America/CAN_Canada/QC_Quebec/CAN_QC_Kangirsuk.AP.719043_TMYx.2007-2021.zip")</f>
        <v>https://climate.onebuilding.org/WMO_Region_4_North_and_Central_America/CAN_Canada/QC_Quebec/CAN_QC_Kangirsuk.AP.719043_TMYx.2007-2021.zip</v>
      </c>
    </row>
    <row r="3091" spans="1:10" x14ac:dyDescent="0.25">
      <c r="A3091" t="s">
        <v>6</v>
      </c>
      <c r="B3091" t="s">
        <v>14</v>
      </c>
      <c r="C3091" t="s">
        <v>1553</v>
      </c>
      <c r="D3091">
        <v>719043</v>
      </c>
      <c r="E3091" t="s">
        <v>10</v>
      </c>
      <c r="F3091">
        <v>60.033000000000001</v>
      </c>
      <c r="G3091">
        <v>-70</v>
      </c>
      <c r="H3091">
        <v>-5</v>
      </c>
      <c r="I3091">
        <v>123</v>
      </c>
      <c r="J3091" t="str">
        <f>HYPERLINK("https://climate.onebuilding.org/WMO_Region_4_North_and_Central_America/CAN_Canada/QC_Quebec/CAN_QC_Kangirsuk.AP.719043_TMYx.2009-2023.zip")</f>
        <v>https://climate.onebuilding.org/WMO_Region_4_North_and_Central_America/CAN_Canada/QC_Quebec/CAN_QC_Kangirsuk.AP.719043_TMYx.2009-2023.zip</v>
      </c>
    </row>
    <row r="3092" spans="1:10" x14ac:dyDescent="0.25">
      <c r="A3092" t="s">
        <v>6</v>
      </c>
      <c r="B3092" t="s">
        <v>14</v>
      </c>
      <c r="C3092" t="s">
        <v>1553</v>
      </c>
      <c r="D3092">
        <v>719043</v>
      </c>
      <c r="E3092" t="s">
        <v>10</v>
      </c>
      <c r="F3092">
        <v>60.033000000000001</v>
      </c>
      <c r="G3092">
        <v>-70</v>
      </c>
      <c r="H3092">
        <v>-5</v>
      </c>
      <c r="I3092">
        <v>123</v>
      </c>
      <c r="J3092" t="str">
        <f>HYPERLINK("https://climate.onebuilding.org/WMO_Region_4_North_and_Central_America/CAN_Canada/QC_Quebec/CAN_QC_Kangirsuk.AP.719043_TMYx.zip")</f>
        <v>https://climate.onebuilding.org/WMO_Region_4_North_and_Central_America/CAN_Canada/QC_Quebec/CAN_QC_Kangirsuk.AP.719043_TMYx.zip</v>
      </c>
    </row>
    <row r="3093" spans="1:10" x14ac:dyDescent="0.25">
      <c r="A3093" t="s">
        <v>6</v>
      </c>
      <c r="B3093" t="s">
        <v>14</v>
      </c>
      <c r="C3093" t="s">
        <v>1555</v>
      </c>
      <c r="D3093">
        <v>719053</v>
      </c>
      <c r="E3093" t="s">
        <v>1556</v>
      </c>
      <c r="F3093">
        <v>56.533000000000001</v>
      </c>
      <c r="G3093">
        <v>-76.516999999999996</v>
      </c>
      <c r="H3093">
        <v>-5</v>
      </c>
      <c r="I3093">
        <v>71</v>
      </c>
      <c r="J3093" t="str">
        <f>HYPERLINK("https://climate.onebuilding.org/WMO_Region_4_North_and_Central_America/CAN_Canada/QC_Quebec/CAN_QC_Umiujaq.AP.719053_TMYx.2004-2018.zip")</f>
        <v>https://climate.onebuilding.org/WMO_Region_4_North_and_Central_America/CAN_Canada/QC_Quebec/CAN_QC_Umiujaq.AP.719053_TMYx.2004-2018.zip</v>
      </c>
    </row>
    <row r="3094" spans="1:10" x14ac:dyDescent="0.25">
      <c r="A3094" t="s">
        <v>6</v>
      </c>
      <c r="B3094" t="s">
        <v>14</v>
      </c>
      <c r="C3094" t="s">
        <v>1555</v>
      </c>
      <c r="D3094">
        <v>719053</v>
      </c>
      <c r="E3094" t="s">
        <v>10</v>
      </c>
      <c r="F3094">
        <v>56.533000000000001</v>
      </c>
      <c r="G3094">
        <v>-76.516999999999996</v>
      </c>
      <c r="H3094">
        <v>-5</v>
      </c>
      <c r="I3094">
        <v>71</v>
      </c>
      <c r="J3094" t="str">
        <f>HYPERLINK("https://climate.onebuilding.org/WMO_Region_4_North_and_Central_America/CAN_Canada/QC_Quebec/CAN_QC_Umiujaq.AP.719053_TMYx.2007-2021.zip")</f>
        <v>https://climate.onebuilding.org/WMO_Region_4_North_and_Central_America/CAN_Canada/QC_Quebec/CAN_QC_Umiujaq.AP.719053_TMYx.2007-2021.zip</v>
      </c>
    </row>
    <row r="3095" spans="1:10" x14ac:dyDescent="0.25">
      <c r="A3095" t="s">
        <v>6</v>
      </c>
      <c r="B3095" t="s">
        <v>14</v>
      </c>
      <c r="C3095" t="s">
        <v>1555</v>
      </c>
      <c r="D3095">
        <v>719053</v>
      </c>
      <c r="E3095" t="s">
        <v>10</v>
      </c>
      <c r="F3095">
        <v>56.533000000000001</v>
      </c>
      <c r="G3095">
        <v>-76.516999999999996</v>
      </c>
      <c r="H3095">
        <v>-5</v>
      </c>
      <c r="I3095">
        <v>71</v>
      </c>
      <c r="J3095" t="str">
        <f>HYPERLINK("https://climate.onebuilding.org/WMO_Region_4_North_and_Central_America/CAN_Canada/QC_Quebec/CAN_QC_Umiujaq.AP.719053_TMYx.2009-2023.zip")</f>
        <v>https://climate.onebuilding.org/WMO_Region_4_North_and_Central_America/CAN_Canada/QC_Quebec/CAN_QC_Umiujaq.AP.719053_TMYx.2009-2023.zip</v>
      </c>
    </row>
    <row r="3096" spans="1:10" x14ac:dyDescent="0.25">
      <c r="A3096" t="s">
        <v>6</v>
      </c>
      <c r="B3096" t="s">
        <v>14</v>
      </c>
      <c r="C3096" t="s">
        <v>1555</v>
      </c>
      <c r="D3096">
        <v>719053</v>
      </c>
      <c r="E3096" t="s">
        <v>10</v>
      </c>
      <c r="F3096">
        <v>56.533000000000001</v>
      </c>
      <c r="G3096">
        <v>-76.516999999999996</v>
      </c>
      <c r="H3096">
        <v>-5</v>
      </c>
      <c r="I3096">
        <v>71</v>
      </c>
      <c r="J3096" t="str">
        <f>HYPERLINK("https://climate.onebuilding.org/WMO_Region_4_North_and_Central_America/CAN_Canada/QC_Quebec/CAN_QC_Umiujaq.AP.719053_TMYx.zip")</f>
        <v>https://climate.onebuilding.org/WMO_Region_4_North_and_Central_America/CAN_Canada/QC_Quebec/CAN_QC_Umiujaq.AP.719053_TMYx.zip</v>
      </c>
    </row>
    <row r="3097" spans="1:10" x14ac:dyDescent="0.25">
      <c r="A3097" t="s">
        <v>6</v>
      </c>
      <c r="B3097" t="s">
        <v>14</v>
      </c>
      <c r="C3097" t="s">
        <v>1557</v>
      </c>
      <c r="D3097">
        <v>719060</v>
      </c>
      <c r="E3097" t="s">
        <v>1558</v>
      </c>
      <c r="F3097">
        <v>58.1</v>
      </c>
      <c r="G3097">
        <v>-68.416700000000006</v>
      </c>
      <c r="H3097">
        <v>-5</v>
      </c>
      <c r="I3097">
        <v>39.9</v>
      </c>
      <c r="J3097" t="str">
        <f>HYPERLINK("https://climate.onebuilding.org/WMO_Region_4_North_and_Central_America/CAN_Canada/QC_Quebec/CAN_QC_Kuujjuaq.AP.719060_TMYx.2004-2018.zip")</f>
        <v>https://climate.onebuilding.org/WMO_Region_4_North_and_Central_America/CAN_Canada/QC_Quebec/CAN_QC_Kuujjuaq.AP.719060_TMYx.2004-2018.zip</v>
      </c>
    </row>
    <row r="3098" spans="1:10" x14ac:dyDescent="0.25">
      <c r="A3098" t="s">
        <v>6</v>
      </c>
      <c r="B3098" t="s">
        <v>14</v>
      </c>
      <c r="C3098" t="s">
        <v>1557</v>
      </c>
      <c r="D3098">
        <v>719060</v>
      </c>
      <c r="E3098" t="s">
        <v>10</v>
      </c>
      <c r="F3098">
        <v>58.098700000000001</v>
      </c>
      <c r="G3098">
        <v>-68.417500000000004</v>
      </c>
      <c r="H3098">
        <v>-5</v>
      </c>
      <c r="I3098">
        <v>39.9</v>
      </c>
      <c r="J3098" t="str">
        <f>HYPERLINK("https://climate.onebuilding.org/WMO_Region_4_North_and_Central_America/CAN_Canada/QC_Quebec/CAN_QC_Kuujjuaq.AP.719060_TMYx.2007-2021.zip")</f>
        <v>https://climate.onebuilding.org/WMO_Region_4_North_and_Central_America/CAN_Canada/QC_Quebec/CAN_QC_Kuujjuaq.AP.719060_TMYx.2007-2021.zip</v>
      </c>
    </row>
    <row r="3099" spans="1:10" x14ac:dyDescent="0.25">
      <c r="A3099" t="s">
        <v>6</v>
      </c>
      <c r="B3099" t="s">
        <v>14</v>
      </c>
      <c r="C3099" t="s">
        <v>1557</v>
      </c>
      <c r="D3099">
        <v>719060</v>
      </c>
      <c r="E3099" t="s">
        <v>10</v>
      </c>
      <c r="F3099">
        <v>58.098700000000001</v>
      </c>
      <c r="G3099">
        <v>-68.417500000000004</v>
      </c>
      <c r="H3099">
        <v>-5</v>
      </c>
      <c r="I3099">
        <v>39.9</v>
      </c>
      <c r="J3099" t="str">
        <f>HYPERLINK("https://climate.onebuilding.org/WMO_Region_4_North_and_Central_America/CAN_Canada/QC_Quebec/CAN_QC_Kuujjuaq.AP.719060_TMYx.2009-2023.zip")</f>
        <v>https://climate.onebuilding.org/WMO_Region_4_North_and_Central_America/CAN_Canada/QC_Quebec/CAN_QC_Kuujjuaq.AP.719060_TMYx.2009-2023.zip</v>
      </c>
    </row>
    <row r="3100" spans="1:10" x14ac:dyDescent="0.25">
      <c r="A3100" t="s">
        <v>6</v>
      </c>
      <c r="B3100" t="s">
        <v>14</v>
      </c>
      <c r="C3100" t="s">
        <v>1557</v>
      </c>
      <c r="D3100">
        <v>719060</v>
      </c>
      <c r="E3100" t="s">
        <v>10</v>
      </c>
      <c r="F3100">
        <v>58.098700000000001</v>
      </c>
      <c r="G3100">
        <v>-68.417500000000004</v>
      </c>
      <c r="H3100">
        <v>-5</v>
      </c>
      <c r="I3100">
        <v>39.9</v>
      </c>
      <c r="J3100" t="str">
        <f>HYPERLINK("https://climate.onebuilding.org/WMO_Region_4_North_and_Central_America/CAN_Canada/QC_Quebec/CAN_QC_Kuujjuaq.AP.719060_TMYx.zip")</f>
        <v>https://climate.onebuilding.org/WMO_Region_4_North_and_Central_America/CAN_Canada/QC_Quebec/CAN_QC_Kuujjuaq.AP.719060_TMYx.zip</v>
      </c>
    </row>
    <row r="3101" spans="1:10" x14ac:dyDescent="0.25">
      <c r="A3101" t="s">
        <v>6</v>
      </c>
      <c r="B3101" t="s">
        <v>14</v>
      </c>
      <c r="C3101" t="s">
        <v>1559</v>
      </c>
      <c r="D3101">
        <v>719064</v>
      </c>
      <c r="E3101" t="s">
        <v>1560</v>
      </c>
      <c r="F3101">
        <v>58.667000000000002</v>
      </c>
      <c r="G3101">
        <v>-69.95</v>
      </c>
      <c r="H3101">
        <v>-5</v>
      </c>
      <c r="I3101">
        <v>31</v>
      </c>
      <c r="J3101" t="str">
        <f>HYPERLINK("https://climate.onebuilding.org/WMO_Region_4_North_and_Central_America/CAN_Canada/QC_Quebec/CAN_QC_Tasiujaq.AP.719064_TMYx.2004-2018.zip")</f>
        <v>https://climate.onebuilding.org/WMO_Region_4_North_and_Central_America/CAN_Canada/QC_Quebec/CAN_QC_Tasiujaq.AP.719064_TMYx.2004-2018.zip</v>
      </c>
    </row>
    <row r="3102" spans="1:10" x14ac:dyDescent="0.25">
      <c r="A3102" t="s">
        <v>6</v>
      </c>
      <c r="B3102" t="s">
        <v>14</v>
      </c>
      <c r="C3102" t="s">
        <v>1559</v>
      </c>
      <c r="D3102">
        <v>719064</v>
      </c>
      <c r="E3102" t="s">
        <v>10</v>
      </c>
      <c r="F3102">
        <v>58.670999999999999</v>
      </c>
      <c r="G3102">
        <v>-69.95</v>
      </c>
      <c r="H3102">
        <v>-5</v>
      </c>
      <c r="I3102">
        <v>31</v>
      </c>
      <c r="J3102" t="str">
        <f>HYPERLINK("https://climate.onebuilding.org/WMO_Region_4_North_and_Central_America/CAN_Canada/QC_Quebec/CAN_QC_Tasiujaq.AP.719064_TMYx.2007-2021.zip")</f>
        <v>https://climate.onebuilding.org/WMO_Region_4_North_and_Central_America/CAN_Canada/QC_Quebec/CAN_QC_Tasiujaq.AP.719064_TMYx.2007-2021.zip</v>
      </c>
    </row>
    <row r="3103" spans="1:10" x14ac:dyDescent="0.25">
      <c r="A3103" t="s">
        <v>6</v>
      </c>
      <c r="B3103" t="s">
        <v>14</v>
      </c>
      <c r="C3103" t="s">
        <v>1559</v>
      </c>
      <c r="D3103">
        <v>719064</v>
      </c>
      <c r="E3103" t="s">
        <v>10</v>
      </c>
      <c r="F3103">
        <v>58.670999999999999</v>
      </c>
      <c r="G3103">
        <v>-69.95</v>
      </c>
      <c r="H3103">
        <v>-5</v>
      </c>
      <c r="I3103">
        <v>31</v>
      </c>
      <c r="J3103" t="str">
        <f>HYPERLINK("https://climate.onebuilding.org/WMO_Region_4_North_and_Central_America/CAN_Canada/QC_Quebec/CAN_QC_Tasiujaq.AP.719064_TMYx.2009-2023.zip")</f>
        <v>https://climate.onebuilding.org/WMO_Region_4_North_and_Central_America/CAN_Canada/QC_Quebec/CAN_QC_Tasiujaq.AP.719064_TMYx.2009-2023.zip</v>
      </c>
    </row>
    <row r="3104" spans="1:10" x14ac:dyDescent="0.25">
      <c r="A3104" t="s">
        <v>6</v>
      </c>
      <c r="B3104" t="s">
        <v>14</v>
      </c>
      <c r="C3104" t="s">
        <v>1559</v>
      </c>
      <c r="D3104">
        <v>719064</v>
      </c>
      <c r="E3104" t="s">
        <v>10</v>
      </c>
      <c r="F3104">
        <v>58.670999999999999</v>
      </c>
      <c r="G3104">
        <v>-69.95</v>
      </c>
      <c r="H3104">
        <v>-5</v>
      </c>
      <c r="I3104">
        <v>31</v>
      </c>
      <c r="J3104" t="str">
        <f>HYPERLINK("https://climate.onebuilding.org/WMO_Region_4_North_and_Central_America/CAN_Canada/QC_Quebec/CAN_QC_Tasiujaq.AP.719064_TMYx.zip")</f>
        <v>https://climate.onebuilding.org/WMO_Region_4_North_and_Central_America/CAN_Canada/QC_Quebec/CAN_QC_Tasiujaq.AP.719064_TMYx.zip</v>
      </c>
    </row>
    <row r="3105" spans="1:10" x14ac:dyDescent="0.25">
      <c r="A3105" t="s">
        <v>6</v>
      </c>
      <c r="B3105" t="s">
        <v>14</v>
      </c>
      <c r="C3105" t="s">
        <v>1561</v>
      </c>
      <c r="D3105">
        <v>719070</v>
      </c>
      <c r="E3105" t="s">
        <v>1562</v>
      </c>
      <c r="F3105">
        <v>58.472000000000001</v>
      </c>
      <c r="G3105">
        <v>-78.076899999999995</v>
      </c>
      <c r="H3105">
        <v>-5</v>
      </c>
      <c r="I3105">
        <v>26.2</v>
      </c>
      <c r="J3105" t="str">
        <f>HYPERLINK("https://climate.onebuilding.org/WMO_Region_4_North_and_Central_America/CAN_Canada/QC_Quebec/CAN_QC_Inukjuak.AP.719070_TMYx.2004-2018.zip")</f>
        <v>https://climate.onebuilding.org/WMO_Region_4_North_and_Central_America/CAN_Canada/QC_Quebec/CAN_QC_Inukjuak.AP.719070_TMYx.2004-2018.zip</v>
      </c>
    </row>
    <row r="3106" spans="1:10" x14ac:dyDescent="0.25">
      <c r="A3106" t="s">
        <v>6</v>
      </c>
      <c r="B3106" t="s">
        <v>14</v>
      </c>
      <c r="C3106" t="s">
        <v>1561</v>
      </c>
      <c r="D3106">
        <v>719070</v>
      </c>
      <c r="E3106" t="s">
        <v>10</v>
      </c>
      <c r="F3106">
        <v>58.467199999999998</v>
      </c>
      <c r="G3106">
        <v>-78.078599999999994</v>
      </c>
      <c r="H3106">
        <v>-5</v>
      </c>
      <c r="I3106">
        <v>26.2</v>
      </c>
      <c r="J3106" t="str">
        <f>HYPERLINK("https://climate.onebuilding.org/WMO_Region_4_North_and_Central_America/CAN_Canada/QC_Quebec/CAN_QC_Inukjuak.AP.719070_TMYx.2007-2021.zip")</f>
        <v>https://climate.onebuilding.org/WMO_Region_4_North_and_Central_America/CAN_Canada/QC_Quebec/CAN_QC_Inukjuak.AP.719070_TMYx.2007-2021.zip</v>
      </c>
    </row>
    <row r="3107" spans="1:10" x14ac:dyDescent="0.25">
      <c r="A3107" t="s">
        <v>6</v>
      </c>
      <c r="B3107" t="s">
        <v>14</v>
      </c>
      <c r="C3107" t="s">
        <v>1561</v>
      </c>
      <c r="D3107">
        <v>719070</v>
      </c>
      <c r="E3107" t="s">
        <v>10</v>
      </c>
      <c r="F3107">
        <v>58.467199999999998</v>
      </c>
      <c r="G3107">
        <v>-78.078599999999994</v>
      </c>
      <c r="H3107">
        <v>-5</v>
      </c>
      <c r="I3107">
        <v>26.2</v>
      </c>
      <c r="J3107" t="str">
        <f>HYPERLINK("https://climate.onebuilding.org/WMO_Region_4_North_and_Central_America/CAN_Canada/QC_Quebec/CAN_QC_Inukjuak.AP.719070_TMYx.2009-2023.zip")</f>
        <v>https://climate.onebuilding.org/WMO_Region_4_North_and_Central_America/CAN_Canada/QC_Quebec/CAN_QC_Inukjuak.AP.719070_TMYx.2009-2023.zip</v>
      </c>
    </row>
    <row r="3108" spans="1:10" x14ac:dyDescent="0.25">
      <c r="A3108" t="s">
        <v>6</v>
      </c>
      <c r="B3108" t="s">
        <v>14</v>
      </c>
      <c r="C3108" t="s">
        <v>1561</v>
      </c>
      <c r="D3108">
        <v>719070</v>
      </c>
      <c r="E3108" t="s">
        <v>10</v>
      </c>
      <c r="F3108">
        <v>58.467199999999998</v>
      </c>
      <c r="G3108">
        <v>-78.078599999999994</v>
      </c>
      <c r="H3108">
        <v>-5</v>
      </c>
      <c r="I3108">
        <v>26.2</v>
      </c>
      <c r="J3108" t="str">
        <f>HYPERLINK("https://climate.onebuilding.org/WMO_Region_4_North_and_Central_America/CAN_Canada/QC_Quebec/CAN_QC_Inukjuak.AP.719070_TMYx.zip")</f>
        <v>https://climate.onebuilding.org/WMO_Region_4_North_and_Central_America/CAN_Canada/QC_Quebec/CAN_QC_Inukjuak.AP.719070_TMYx.zip</v>
      </c>
    </row>
    <row r="3109" spans="1:10" x14ac:dyDescent="0.25">
      <c r="A3109" t="s">
        <v>6</v>
      </c>
      <c r="B3109" t="s">
        <v>14</v>
      </c>
      <c r="C3109" t="s">
        <v>1563</v>
      </c>
      <c r="D3109">
        <v>719074</v>
      </c>
      <c r="E3109" t="s">
        <v>1564</v>
      </c>
      <c r="F3109">
        <v>62.417000000000002</v>
      </c>
      <c r="G3109">
        <v>-77.924999999999997</v>
      </c>
      <c r="H3109">
        <v>-5</v>
      </c>
      <c r="I3109">
        <v>38.4</v>
      </c>
      <c r="J3109" t="str">
        <f>HYPERLINK("https://climate.onebuilding.org/WMO_Region_4_North_and_Central_America/CAN_Canada/QC_Quebec/CAN_QC_Ivujivik.AP.719074_TMYx.2004-2018.zip")</f>
        <v>https://climate.onebuilding.org/WMO_Region_4_North_and_Central_America/CAN_Canada/QC_Quebec/CAN_QC_Ivujivik.AP.719074_TMYx.2004-2018.zip</v>
      </c>
    </row>
    <row r="3110" spans="1:10" x14ac:dyDescent="0.25">
      <c r="A3110" t="s">
        <v>6</v>
      </c>
      <c r="B3110" t="s">
        <v>14</v>
      </c>
      <c r="C3110" t="s">
        <v>1563</v>
      </c>
      <c r="D3110">
        <v>719074</v>
      </c>
      <c r="E3110" t="s">
        <v>10</v>
      </c>
      <c r="F3110">
        <v>62.417000000000002</v>
      </c>
      <c r="G3110">
        <v>-77.924999999999997</v>
      </c>
      <c r="H3110">
        <v>-5</v>
      </c>
      <c r="I3110">
        <v>38.4</v>
      </c>
      <c r="J3110" t="str">
        <f>HYPERLINK("https://climate.onebuilding.org/WMO_Region_4_North_and_Central_America/CAN_Canada/QC_Quebec/CAN_QC_Ivujivik.AP.719074_TMYx.2007-2021.zip")</f>
        <v>https://climate.onebuilding.org/WMO_Region_4_North_and_Central_America/CAN_Canada/QC_Quebec/CAN_QC_Ivujivik.AP.719074_TMYx.2007-2021.zip</v>
      </c>
    </row>
    <row r="3111" spans="1:10" x14ac:dyDescent="0.25">
      <c r="A3111" t="s">
        <v>6</v>
      </c>
      <c r="B3111" t="s">
        <v>14</v>
      </c>
      <c r="C3111" t="s">
        <v>1563</v>
      </c>
      <c r="D3111">
        <v>719074</v>
      </c>
      <c r="E3111" t="s">
        <v>10</v>
      </c>
      <c r="F3111">
        <v>62.417000000000002</v>
      </c>
      <c r="G3111">
        <v>-77.924999999999997</v>
      </c>
      <c r="H3111">
        <v>-5</v>
      </c>
      <c r="I3111">
        <v>38.4</v>
      </c>
      <c r="J3111" t="str">
        <f>HYPERLINK("https://climate.onebuilding.org/WMO_Region_4_North_and_Central_America/CAN_Canada/QC_Quebec/CAN_QC_Ivujivik.AP.719074_TMYx.2009-2023.zip")</f>
        <v>https://climate.onebuilding.org/WMO_Region_4_North_and_Central_America/CAN_Canada/QC_Quebec/CAN_QC_Ivujivik.AP.719074_TMYx.2009-2023.zip</v>
      </c>
    </row>
    <row r="3112" spans="1:10" x14ac:dyDescent="0.25">
      <c r="A3112" t="s">
        <v>6</v>
      </c>
      <c r="B3112" t="s">
        <v>14</v>
      </c>
      <c r="C3112" t="s">
        <v>1563</v>
      </c>
      <c r="D3112">
        <v>719074</v>
      </c>
      <c r="E3112" t="s">
        <v>10</v>
      </c>
      <c r="F3112">
        <v>62.417000000000002</v>
      </c>
      <c r="G3112">
        <v>-77.924999999999997</v>
      </c>
      <c r="H3112">
        <v>-5</v>
      </c>
      <c r="I3112">
        <v>38.4</v>
      </c>
      <c r="J3112" t="str">
        <f>HYPERLINK("https://climate.onebuilding.org/WMO_Region_4_North_and_Central_America/CAN_Canada/QC_Quebec/CAN_QC_Ivujivik.AP.719074_TMYx.zip")</f>
        <v>https://climate.onebuilding.org/WMO_Region_4_North_and_Central_America/CAN_Canada/QC_Quebec/CAN_QC_Ivujivik.AP.719074_TMYx.zip</v>
      </c>
    </row>
    <row r="3113" spans="1:10" x14ac:dyDescent="0.25">
      <c r="A3113" t="s">
        <v>6</v>
      </c>
      <c r="B3113" t="s">
        <v>14</v>
      </c>
      <c r="C3113" t="s">
        <v>1565</v>
      </c>
      <c r="D3113">
        <v>719077</v>
      </c>
      <c r="E3113" t="s">
        <v>1566</v>
      </c>
      <c r="F3113">
        <v>60.051000000000002</v>
      </c>
      <c r="G3113">
        <v>-77.287000000000006</v>
      </c>
      <c r="H3113">
        <v>-5</v>
      </c>
      <c r="I3113">
        <v>22.6</v>
      </c>
      <c r="J3113" t="str">
        <f>HYPERLINK("https://climate.onebuilding.org/WMO_Region_4_North_and_Central_America/CAN_Canada/QC_Quebec/CAN_QC_Puvirnituq.AP.719077_TMYx.2004-2018.zip")</f>
        <v>https://climate.onebuilding.org/WMO_Region_4_North_and_Central_America/CAN_Canada/QC_Quebec/CAN_QC_Puvirnituq.AP.719077_TMYx.2004-2018.zip</v>
      </c>
    </row>
    <row r="3114" spans="1:10" x14ac:dyDescent="0.25">
      <c r="A3114" t="s">
        <v>6</v>
      </c>
      <c r="B3114" t="s">
        <v>14</v>
      </c>
      <c r="C3114" t="s">
        <v>1565</v>
      </c>
      <c r="D3114">
        <v>719077</v>
      </c>
      <c r="E3114" t="s">
        <v>10</v>
      </c>
      <c r="F3114">
        <v>60.051000000000002</v>
      </c>
      <c r="G3114">
        <v>-77.287000000000006</v>
      </c>
      <c r="H3114">
        <v>-5</v>
      </c>
      <c r="I3114">
        <v>22.6</v>
      </c>
      <c r="J3114" t="str">
        <f>HYPERLINK("https://climate.onebuilding.org/WMO_Region_4_North_and_Central_America/CAN_Canada/QC_Quebec/CAN_QC_Puvirnituq.AP.719077_TMYx.2007-2021.zip")</f>
        <v>https://climate.onebuilding.org/WMO_Region_4_North_and_Central_America/CAN_Canada/QC_Quebec/CAN_QC_Puvirnituq.AP.719077_TMYx.2007-2021.zip</v>
      </c>
    </row>
    <row r="3115" spans="1:10" x14ac:dyDescent="0.25">
      <c r="A3115" t="s">
        <v>6</v>
      </c>
      <c r="B3115" t="s">
        <v>14</v>
      </c>
      <c r="C3115" t="s">
        <v>1565</v>
      </c>
      <c r="D3115">
        <v>719077</v>
      </c>
      <c r="E3115" t="s">
        <v>10</v>
      </c>
      <c r="F3115">
        <v>60.051000000000002</v>
      </c>
      <c r="G3115">
        <v>-77.287000000000006</v>
      </c>
      <c r="H3115">
        <v>-5</v>
      </c>
      <c r="I3115">
        <v>22.6</v>
      </c>
      <c r="J3115" t="str">
        <f>HYPERLINK("https://climate.onebuilding.org/WMO_Region_4_North_and_Central_America/CAN_Canada/QC_Quebec/CAN_QC_Puvirnituq.AP.719077_TMYx.2009-2023.zip")</f>
        <v>https://climate.onebuilding.org/WMO_Region_4_North_and_Central_America/CAN_Canada/QC_Quebec/CAN_QC_Puvirnituq.AP.719077_TMYx.2009-2023.zip</v>
      </c>
    </row>
    <row r="3116" spans="1:10" x14ac:dyDescent="0.25">
      <c r="A3116" t="s">
        <v>6</v>
      </c>
      <c r="B3116" t="s">
        <v>14</v>
      </c>
      <c r="C3116" t="s">
        <v>1565</v>
      </c>
      <c r="D3116">
        <v>719077</v>
      </c>
      <c r="E3116" t="s">
        <v>10</v>
      </c>
      <c r="F3116">
        <v>60.051000000000002</v>
      </c>
      <c r="G3116">
        <v>-77.287000000000006</v>
      </c>
      <c r="H3116">
        <v>-5</v>
      </c>
      <c r="I3116">
        <v>22.6</v>
      </c>
      <c r="J3116" t="str">
        <f>HYPERLINK("https://climate.onebuilding.org/WMO_Region_4_North_and_Central_America/CAN_Canada/QC_Quebec/CAN_QC_Puvirnituq.AP.719077_TMYx.zip")</f>
        <v>https://climate.onebuilding.org/WMO_Region_4_North_and_Central_America/CAN_Canada/QC_Quebec/CAN_QC_Puvirnituq.AP.719077_TMYx.zip</v>
      </c>
    </row>
    <row r="3117" spans="1:10" x14ac:dyDescent="0.25">
      <c r="A3117" t="s">
        <v>6</v>
      </c>
      <c r="B3117" t="s">
        <v>42</v>
      </c>
      <c r="C3117" t="s">
        <v>1567</v>
      </c>
      <c r="D3117">
        <v>719081</v>
      </c>
      <c r="E3117" t="s">
        <v>10</v>
      </c>
      <c r="F3117">
        <v>63.116999999999997</v>
      </c>
      <c r="G3117">
        <v>-77.933000000000007</v>
      </c>
      <c r="H3117">
        <v>-5</v>
      </c>
      <c r="I3117">
        <v>16</v>
      </c>
      <c r="J3117" t="str">
        <f>HYPERLINK("https://climate.onebuilding.org/WMO_Region_4_North_and_Central_America/CAN_Canada/NU_Nunavut/CAN_NU_Nottingham.Island.719081_TMYx.zip")</f>
        <v>https://climate.onebuilding.org/WMO_Region_4_North_and_Central_America/CAN_Canada/NU_Nunavut/CAN_NU_Nottingham.Island.719081_TMYx.zip</v>
      </c>
    </row>
    <row r="3118" spans="1:10" x14ac:dyDescent="0.25">
      <c r="A3118" t="s">
        <v>6</v>
      </c>
      <c r="B3118" t="s">
        <v>42</v>
      </c>
      <c r="C3118" t="s">
        <v>1568</v>
      </c>
      <c r="D3118">
        <v>719090</v>
      </c>
      <c r="E3118" t="s">
        <v>1569</v>
      </c>
      <c r="F3118">
        <v>63.75</v>
      </c>
      <c r="G3118">
        <v>-68.55</v>
      </c>
      <c r="H3118">
        <v>-5</v>
      </c>
      <c r="I3118">
        <v>33.5</v>
      </c>
      <c r="J3118" t="str">
        <f>HYPERLINK("https://climate.onebuilding.org/WMO_Region_4_North_and_Central_America/CAN_Canada/NU_Nunavut/CAN_NU_Iqaluit.AP.719090_TMYx.2004-2018.zip")</f>
        <v>https://climate.onebuilding.org/WMO_Region_4_North_and_Central_America/CAN_Canada/NU_Nunavut/CAN_NU_Iqaluit.AP.719090_TMYx.2004-2018.zip</v>
      </c>
    </row>
    <row r="3119" spans="1:10" x14ac:dyDescent="0.25">
      <c r="A3119" t="s">
        <v>6</v>
      </c>
      <c r="B3119" t="s">
        <v>42</v>
      </c>
      <c r="C3119" t="s">
        <v>1568</v>
      </c>
      <c r="D3119">
        <v>719090</v>
      </c>
      <c r="E3119" t="s">
        <v>10</v>
      </c>
      <c r="F3119">
        <v>63.747799999999998</v>
      </c>
      <c r="G3119">
        <v>-68.544399999999996</v>
      </c>
      <c r="H3119">
        <v>-5</v>
      </c>
      <c r="I3119">
        <v>33.5</v>
      </c>
      <c r="J3119" t="str">
        <f>HYPERLINK("https://climate.onebuilding.org/WMO_Region_4_North_and_Central_America/CAN_Canada/NU_Nunavut/CAN_NU_Iqaluit.AP.719090_TMYx.2007-2021.zip")</f>
        <v>https://climate.onebuilding.org/WMO_Region_4_North_and_Central_America/CAN_Canada/NU_Nunavut/CAN_NU_Iqaluit.AP.719090_TMYx.2007-2021.zip</v>
      </c>
    </row>
    <row r="3120" spans="1:10" x14ac:dyDescent="0.25">
      <c r="A3120" t="s">
        <v>6</v>
      </c>
      <c r="B3120" t="s">
        <v>42</v>
      </c>
      <c r="C3120" t="s">
        <v>1568</v>
      </c>
      <c r="D3120">
        <v>719090</v>
      </c>
      <c r="E3120" t="s">
        <v>10</v>
      </c>
      <c r="F3120">
        <v>63.747799999999998</v>
      </c>
      <c r="G3120">
        <v>-68.544399999999996</v>
      </c>
      <c r="H3120">
        <v>-5</v>
      </c>
      <c r="I3120">
        <v>33.5</v>
      </c>
      <c r="J3120" t="str">
        <f>HYPERLINK("https://climate.onebuilding.org/WMO_Region_4_North_and_Central_America/CAN_Canada/NU_Nunavut/CAN_NU_Iqaluit.AP.719090_TMYx.2009-2023.zip")</f>
        <v>https://climate.onebuilding.org/WMO_Region_4_North_and_Central_America/CAN_Canada/NU_Nunavut/CAN_NU_Iqaluit.AP.719090_TMYx.2009-2023.zip</v>
      </c>
    </row>
    <row r="3121" spans="1:10" x14ac:dyDescent="0.25">
      <c r="A3121" t="s">
        <v>6</v>
      </c>
      <c r="B3121" t="s">
        <v>42</v>
      </c>
      <c r="C3121" t="s">
        <v>1568</v>
      </c>
      <c r="D3121">
        <v>719090</v>
      </c>
      <c r="E3121" t="s">
        <v>10</v>
      </c>
      <c r="F3121">
        <v>63.747799999999998</v>
      </c>
      <c r="G3121">
        <v>-68.544399999999996</v>
      </c>
      <c r="H3121">
        <v>-5</v>
      </c>
      <c r="I3121">
        <v>33.5</v>
      </c>
      <c r="J3121" t="str">
        <f>HYPERLINK("https://climate.onebuilding.org/WMO_Region_4_North_and_Central_America/CAN_Canada/NU_Nunavut/CAN_NU_Iqaluit.AP.719090_TMYx.zip")</f>
        <v>https://climate.onebuilding.org/WMO_Region_4_North_and_Central_America/CAN_Canada/NU_Nunavut/CAN_NU_Iqaluit.AP.719090_TMYx.zip</v>
      </c>
    </row>
    <row r="3122" spans="1:10" x14ac:dyDescent="0.25">
      <c r="A3122" t="s">
        <v>6</v>
      </c>
      <c r="B3122" t="s">
        <v>48</v>
      </c>
      <c r="C3122" t="s">
        <v>1570</v>
      </c>
      <c r="D3122">
        <v>719094</v>
      </c>
      <c r="E3122" t="s">
        <v>10</v>
      </c>
      <c r="F3122">
        <v>62.85</v>
      </c>
      <c r="G3122">
        <v>-69.882999999999996</v>
      </c>
      <c r="H3122">
        <v>-5</v>
      </c>
      <c r="I3122">
        <v>53</v>
      </c>
      <c r="J3122" t="str">
        <f>HYPERLINK("https://climate.onebuilding.org/WMO_Region_4_North_and_Central_America/CAN_Canada/NT_Northwest_Territories/CAN_NT_Kimmirut.AP.719094_TMYx.2007-2021.zip")</f>
        <v>https://climate.onebuilding.org/WMO_Region_4_North_and_Central_America/CAN_Canada/NT_Northwest_Territories/CAN_NT_Kimmirut.AP.719094_TMYx.2007-2021.zip</v>
      </c>
    </row>
    <row r="3123" spans="1:10" x14ac:dyDescent="0.25">
      <c r="A3123" t="s">
        <v>6</v>
      </c>
      <c r="B3123" t="s">
        <v>48</v>
      </c>
      <c r="C3123" t="s">
        <v>1570</v>
      </c>
      <c r="D3123">
        <v>719094</v>
      </c>
      <c r="E3123" t="s">
        <v>10</v>
      </c>
      <c r="F3123">
        <v>62.85</v>
      </c>
      <c r="G3123">
        <v>-69.882999999999996</v>
      </c>
      <c r="H3123">
        <v>-5</v>
      </c>
      <c r="I3123">
        <v>53</v>
      </c>
      <c r="J3123" t="str">
        <f>HYPERLINK("https://climate.onebuilding.org/WMO_Region_4_North_and_Central_America/CAN_Canada/NT_Northwest_Territories/CAN_NT_Kimmirut.AP.719094_TMYx.2009-2023.zip")</f>
        <v>https://climate.onebuilding.org/WMO_Region_4_North_and_Central_America/CAN_Canada/NT_Northwest_Territories/CAN_NT_Kimmirut.AP.719094_TMYx.2009-2023.zip</v>
      </c>
    </row>
    <row r="3124" spans="1:10" x14ac:dyDescent="0.25">
      <c r="A3124" t="s">
        <v>6</v>
      </c>
      <c r="B3124" t="s">
        <v>48</v>
      </c>
      <c r="C3124" t="s">
        <v>1570</v>
      </c>
      <c r="D3124">
        <v>719094</v>
      </c>
      <c r="E3124" t="s">
        <v>10</v>
      </c>
      <c r="F3124">
        <v>62.85</v>
      </c>
      <c r="G3124">
        <v>-69.882999999999996</v>
      </c>
      <c r="H3124">
        <v>-5</v>
      </c>
      <c r="I3124">
        <v>53</v>
      </c>
      <c r="J3124" t="str">
        <f>HYPERLINK("https://climate.onebuilding.org/WMO_Region_4_North_and_Central_America/CAN_Canada/NT_Northwest_Territories/CAN_NT_Kimmirut.AP.719094_TMYx.zip")</f>
        <v>https://climate.onebuilding.org/WMO_Region_4_North_and_Central_America/CAN_Canada/NT_Northwest_Territories/CAN_NT_Kimmirut.AP.719094_TMYx.zip</v>
      </c>
    </row>
    <row r="3125" spans="1:10" x14ac:dyDescent="0.25">
      <c r="A3125" t="s">
        <v>6</v>
      </c>
      <c r="B3125" t="s">
        <v>42</v>
      </c>
      <c r="C3125" t="s">
        <v>1571</v>
      </c>
      <c r="D3125">
        <v>719100</v>
      </c>
      <c r="E3125" t="s">
        <v>1572</v>
      </c>
      <c r="F3125">
        <v>64.2303</v>
      </c>
      <c r="G3125">
        <v>-76.525000000000006</v>
      </c>
      <c r="H3125">
        <v>-5</v>
      </c>
      <c r="I3125">
        <v>48.2</v>
      </c>
      <c r="J3125" t="str">
        <f>HYPERLINK("https://climate.onebuilding.org/WMO_Region_4_North_and_Central_America/CAN_Canada/NU_Nunavut/CAN_NU_Cape.Dorset.AP.719100_TMYx.2004-2018.zip")</f>
        <v>https://climate.onebuilding.org/WMO_Region_4_North_and_Central_America/CAN_Canada/NU_Nunavut/CAN_NU_Cape.Dorset.AP.719100_TMYx.2004-2018.zip</v>
      </c>
    </row>
    <row r="3126" spans="1:10" x14ac:dyDescent="0.25">
      <c r="A3126" t="s">
        <v>6</v>
      </c>
      <c r="B3126" t="s">
        <v>42</v>
      </c>
      <c r="C3126" t="s">
        <v>1571</v>
      </c>
      <c r="D3126">
        <v>719100</v>
      </c>
      <c r="E3126" t="s">
        <v>10</v>
      </c>
      <c r="F3126">
        <v>64.230999999999995</v>
      </c>
      <c r="G3126">
        <v>-76.53</v>
      </c>
      <c r="H3126">
        <v>-5</v>
      </c>
      <c r="I3126">
        <v>48.2</v>
      </c>
      <c r="J3126" t="str">
        <f>HYPERLINK("https://climate.onebuilding.org/WMO_Region_4_North_and_Central_America/CAN_Canada/NU_Nunavut/CAN_NU_Cape.Dorset.AP.719100_TMYx.2007-2021.zip")</f>
        <v>https://climate.onebuilding.org/WMO_Region_4_North_and_Central_America/CAN_Canada/NU_Nunavut/CAN_NU_Cape.Dorset.AP.719100_TMYx.2007-2021.zip</v>
      </c>
    </row>
    <row r="3127" spans="1:10" x14ac:dyDescent="0.25">
      <c r="A3127" t="s">
        <v>6</v>
      </c>
      <c r="B3127" t="s">
        <v>42</v>
      </c>
      <c r="C3127" t="s">
        <v>1571</v>
      </c>
      <c r="D3127">
        <v>719100</v>
      </c>
      <c r="E3127" t="s">
        <v>10</v>
      </c>
      <c r="F3127">
        <v>64.230999999999995</v>
      </c>
      <c r="G3127">
        <v>-76.53</v>
      </c>
      <c r="H3127">
        <v>-5</v>
      </c>
      <c r="I3127">
        <v>48.2</v>
      </c>
      <c r="J3127" t="str">
        <f>HYPERLINK("https://climate.onebuilding.org/WMO_Region_4_North_and_Central_America/CAN_Canada/NU_Nunavut/CAN_NU_Cape.Dorset.AP.719100_TMYx.2009-2023.zip")</f>
        <v>https://climate.onebuilding.org/WMO_Region_4_North_and_Central_America/CAN_Canada/NU_Nunavut/CAN_NU_Cape.Dorset.AP.719100_TMYx.2009-2023.zip</v>
      </c>
    </row>
    <row r="3128" spans="1:10" x14ac:dyDescent="0.25">
      <c r="A3128" t="s">
        <v>6</v>
      </c>
      <c r="B3128" t="s">
        <v>42</v>
      </c>
      <c r="C3128" t="s">
        <v>1571</v>
      </c>
      <c r="D3128">
        <v>719100</v>
      </c>
      <c r="E3128" t="s">
        <v>10</v>
      </c>
      <c r="F3128">
        <v>64.230999999999995</v>
      </c>
      <c r="G3128">
        <v>-76.53</v>
      </c>
      <c r="H3128">
        <v>-5</v>
      </c>
      <c r="I3128">
        <v>48.2</v>
      </c>
      <c r="J3128" t="str">
        <f>HYPERLINK("https://climate.onebuilding.org/WMO_Region_4_North_and_Central_America/CAN_Canada/NU_Nunavut/CAN_NU_Cape.Dorset.AP.719100_TMYx.zip")</f>
        <v>https://climate.onebuilding.org/WMO_Region_4_North_and_Central_America/CAN_Canada/NU_Nunavut/CAN_NU_Cape.Dorset.AP.719100_TMYx.zip</v>
      </c>
    </row>
    <row r="3129" spans="1:10" x14ac:dyDescent="0.25">
      <c r="A3129" t="s">
        <v>6</v>
      </c>
      <c r="B3129" t="s">
        <v>42</v>
      </c>
      <c r="C3129" t="s">
        <v>1573</v>
      </c>
      <c r="D3129">
        <v>719104</v>
      </c>
      <c r="E3129" t="s">
        <v>1574</v>
      </c>
      <c r="F3129">
        <v>56.538499999999999</v>
      </c>
      <c r="G3129">
        <v>-79.247200000000007</v>
      </c>
      <c r="H3129">
        <v>-5</v>
      </c>
      <c r="I3129">
        <v>20</v>
      </c>
      <c r="J3129" t="str">
        <f>HYPERLINK("https://climate.onebuilding.org/WMO_Region_4_North_and_Central_America/CAN_Canada/NU_Nunavut/CAN_NU_Sanikiluaq.AP.719104_TMYx.2004-2018.zip")</f>
        <v>https://climate.onebuilding.org/WMO_Region_4_North_and_Central_America/CAN_Canada/NU_Nunavut/CAN_NU_Sanikiluaq.AP.719104_TMYx.2004-2018.zip</v>
      </c>
    </row>
    <row r="3130" spans="1:10" x14ac:dyDescent="0.25">
      <c r="A3130" t="s">
        <v>6</v>
      </c>
      <c r="B3130" t="s">
        <v>42</v>
      </c>
      <c r="C3130" t="s">
        <v>1573</v>
      </c>
      <c r="D3130">
        <v>719104</v>
      </c>
      <c r="E3130" t="s">
        <v>10</v>
      </c>
      <c r="F3130">
        <v>56.538449999999997</v>
      </c>
      <c r="G3130">
        <v>-79.247159999999994</v>
      </c>
      <c r="H3130">
        <v>-5</v>
      </c>
      <c r="I3130">
        <v>20</v>
      </c>
      <c r="J3130" t="str">
        <f>HYPERLINK("https://climate.onebuilding.org/WMO_Region_4_North_and_Central_America/CAN_Canada/NU_Nunavut/CAN_NU_Sanikiluaq.AP.719104_TMYx.2007-2021.zip")</f>
        <v>https://climate.onebuilding.org/WMO_Region_4_North_and_Central_America/CAN_Canada/NU_Nunavut/CAN_NU_Sanikiluaq.AP.719104_TMYx.2007-2021.zip</v>
      </c>
    </row>
    <row r="3131" spans="1:10" x14ac:dyDescent="0.25">
      <c r="A3131" t="s">
        <v>6</v>
      </c>
      <c r="B3131" t="s">
        <v>42</v>
      </c>
      <c r="C3131" t="s">
        <v>1573</v>
      </c>
      <c r="D3131">
        <v>719104</v>
      </c>
      <c r="E3131" t="s">
        <v>10</v>
      </c>
      <c r="F3131">
        <v>56.538449999999997</v>
      </c>
      <c r="G3131">
        <v>-79.247159999999994</v>
      </c>
      <c r="H3131">
        <v>-5</v>
      </c>
      <c r="I3131">
        <v>20</v>
      </c>
      <c r="J3131" t="str">
        <f>HYPERLINK("https://climate.onebuilding.org/WMO_Region_4_North_and_Central_America/CAN_Canada/NU_Nunavut/CAN_NU_Sanikiluaq.AP.719104_TMYx.2009-2023.zip")</f>
        <v>https://climate.onebuilding.org/WMO_Region_4_North_and_Central_America/CAN_Canada/NU_Nunavut/CAN_NU_Sanikiluaq.AP.719104_TMYx.2009-2023.zip</v>
      </c>
    </row>
    <row r="3132" spans="1:10" x14ac:dyDescent="0.25">
      <c r="A3132" t="s">
        <v>6</v>
      </c>
      <c r="B3132" t="s">
        <v>42</v>
      </c>
      <c r="C3132" t="s">
        <v>1573</v>
      </c>
      <c r="D3132">
        <v>719104</v>
      </c>
      <c r="E3132" t="s">
        <v>10</v>
      </c>
      <c r="F3132">
        <v>56.538449999999997</v>
      </c>
      <c r="G3132">
        <v>-79.247159999999994</v>
      </c>
      <c r="H3132">
        <v>-5</v>
      </c>
      <c r="I3132">
        <v>20</v>
      </c>
      <c r="J3132" t="str">
        <f>HYPERLINK("https://climate.onebuilding.org/WMO_Region_4_North_and_Central_America/CAN_Canada/NU_Nunavut/CAN_NU_Sanikiluaq.AP.719104_TMYx.zip")</f>
        <v>https://climate.onebuilding.org/WMO_Region_4_North_and_Central_America/CAN_Canada/NU_Nunavut/CAN_NU_Sanikiluaq.AP.719104_TMYx.zip</v>
      </c>
    </row>
    <row r="3133" spans="1:10" x14ac:dyDescent="0.25">
      <c r="A3133" t="s">
        <v>6</v>
      </c>
      <c r="B3133" t="s">
        <v>42</v>
      </c>
      <c r="C3133" t="s">
        <v>1575</v>
      </c>
      <c r="D3133">
        <v>719110</v>
      </c>
      <c r="E3133" t="s">
        <v>1576</v>
      </c>
      <c r="F3133">
        <v>68.816699999999997</v>
      </c>
      <c r="G3133">
        <v>-93.433300000000003</v>
      </c>
      <c r="H3133">
        <v>-7</v>
      </c>
      <c r="I3133">
        <v>42.7</v>
      </c>
      <c r="J3133" t="str">
        <f>HYPERLINK("https://climate.onebuilding.org/WMO_Region_4_North_and_Central_America/CAN_Canada/NU_Nunavut/CAN_NU_Shepherd.Bay.AP.719110_TMYx.2004-2018.zip")</f>
        <v>https://climate.onebuilding.org/WMO_Region_4_North_and_Central_America/CAN_Canada/NU_Nunavut/CAN_NU_Shepherd.Bay.AP.719110_TMYx.2004-2018.zip</v>
      </c>
    </row>
    <row r="3134" spans="1:10" x14ac:dyDescent="0.25">
      <c r="A3134" t="s">
        <v>6</v>
      </c>
      <c r="B3134" t="s">
        <v>42</v>
      </c>
      <c r="C3134" t="s">
        <v>1575</v>
      </c>
      <c r="D3134">
        <v>719110</v>
      </c>
      <c r="E3134" t="s">
        <v>10</v>
      </c>
      <c r="F3134">
        <v>68.816999999999993</v>
      </c>
      <c r="G3134">
        <v>-93.433000000000007</v>
      </c>
      <c r="H3134">
        <v>-7</v>
      </c>
      <c r="I3134">
        <v>42.7</v>
      </c>
      <c r="J3134" t="str">
        <f>HYPERLINK("https://climate.onebuilding.org/WMO_Region_4_North_and_Central_America/CAN_Canada/NU_Nunavut/CAN_NU_Shepherd.Bay.AP.719110_TMYx.2007-2021.zip")</f>
        <v>https://climate.onebuilding.org/WMO_Region_4_North_and_Central_America/CAN_Canada/NU_Nunavut/CAN_NU_Shepherd.Bay.AP.719110_TMYx.2007-2021.zip</v>
      </c>
    </row>
    <row r="3135" spans="1:10" x14ac:dyDescent="0.25">
      <c r="A3135" t="s">
        <v>6</v>
      </c>
      <c r="B3135" t="s">
        <v>42</v>
      </c>
      <c r="C3135" t="s">
        <v>1575</v>
      </c>
      <c r="D3135">
        <v>719110</v>
      </c>
      <c r="E3135" t="s">
        <v>10</v>
      </c>
      <c r="F3135">
        <v>68.816999999999993</v>
      </c>
      <c r="G3135">
        <v>-93.433000000000007</v>
      </c>
      <c r="H3135">
        <v>-7</v>
      </c>
      <c r="I3135">
        <v>42.7</v>
      </c>
      <c r="J3135" t="str">
        <f>HYPERLINK("https://climate.onebuilding.org/WMO_Region_4_North_and_Central_America/CAN_Canada/NU_Nunavut/CAN_NU_Shepherd.Bay.AP.719110_TMYx.2009-2023.zip")</f>
        <v>https://climate.onebuilding.org/WMO_Region_4_North_and_Central_America/CAN_Canada/NU_Nunavut/CAN_NU_Shepherd.Bay.AP.719110_TMYx.2009-2023.zip</v>
      </c>
    </row>
    <row r="3136" spans="1:10" x14ac:dyDescent="0.25">
      <c r="A3136" t="s">
        <v>6</v>
      </c>
      <c r="B3136" t="s">
        <v>42</v>
      </c>
      <c r="C3136" t="s">
        <v>1575</v>
      </c>
      <c r="D3136">
        <v>719110</v>
      </c>
      <c r="E3136" t="s">
        <v>10</v>
      </c>
      <c r="F3136">
        <v>68.816999999999993</v>
      </c>
      <c r="G3136">
        <v>-93.433000000000007</v>
      </c>
      <c r="H3136">
        <v>-7</v>
      </c>
      <c r="I3136">
        <v>42.7</v>
      </c>
      <c r="J3136" t="str">
        <f>HYPERLINK("https://climate.onebuilding.org/WMO_Region_4_North_and_Central_America/CAN_Canada/NU_Nunavut/CAN_NU_Shepherd.Bay.AP.719110_TMYx.zip")</f>
        <v>https://climate.onebuilding.org/WMO_Region_4_North_and_Central_America/CAN_Canada/NU_Nunavut/CAN_NU_Shepherd.Bay.AP.719110_TMYx.zip</v>
      </c>
    </row>
    <row r="3137" spans="1:10" x14ac:dyDescent="0.25">
      <c r="A3137" t="s">
        <v>6</v>
      </c>
      <c r="B3137" t="s">
        <v>94</v>
      </c>
      <c r="C3137" t="s">
        <v>1577</v>
      </c>
      <c r="D3137">
        <v>719120</v>
      </c>
      <c r="E3137" t="s">
        <v>1578</v>
      </c>
      <c r="F3137">
        <v>56.357500000000002</v>
      </c>
      <c r="G3137">
        <v>-94.710599999999999</v>
      </c>
      <c r="H3137">
        <v>-6</v>
      </c>
      <c r="I3137">
        <v>145.1</v>
      </c>
      <c r="J3137" t="str">
        <f>HYPERLINK("https://climate.onebuilding.org/WMO_Region_4_North_and_Central_America/CAN_Canada/MB_Manitoba/CAN_MB_Gillam.AP.719120_TMYx.2004-2018.zip")</f>
        <v>https://climate.onebuilding.org/WMO_Region_4_North_and_Central_America/CAN_Canada/MB_Manitoba/CAN_MB_Gillam.AP.719120_TMYx.2004-2018.zip</v>
      </c>
    </row>
    <row r="3138" spans="1:10" x14ac:dyDescent="0.25">
      <c r="A3138" t="s">
        <v>6</v>
      </c>
      <c r="B3138" t="s">
        <v>94</v>
      </c>
      <c r="C3138" t="s">
        <v>1577</v>
      </c>
      <c r="D3138">
        <v>719120</v>
      </c>
      <c r="E3138" t="s">
        <v>10</v>
      </c>
      <c r="F3138">
        <v>56.357500000000002</v>
      </c>
      <c r="G3138">
        <v>-94.710599999999999</v>
      </c>
      <c r="H3138">
        <v>-6</v>
      </c>
      <c r="I3138">
        <v>145.1</v>
      </c>
      <c r="J3138" t="str">
        <f>HYPERLINK("https://climate.onebuilding.org/WMO_Region_4_North_and_Central_America/CAN_Canada/MB_Manitoba/CAN_MB_Gillam.AP.719120_TMYx.2007-2021.zip")</f>
        <v>https://climate.onebuilding.org/WMO_Region_4_North_and_Central_America/CAN_Canada/MB_Manitoba/CAN_MB_Gillam.AP.719120_TMYx.2007-2021.zip</v>
      </c>
    </row>
    <row r="3139" spans="1:10" x14ac:dyDescent="0.25">
      <c r="A3139" t="s">
        <v>6</v>
      </c>
      <c r="B3139" t="s">
        <v>94</v>
      </c>
      <c r="C3139" t="s">
        <v>1577</v>
      </c>
      <c r="D3139">
        <v>719120</v>
      </c>
      <c r="E3139" t="s">
        <v>10</v>
      </c>
      <c r="F3139">
        <v>56.357500000000002</v>
      </c>
      <c r="G3139">
        <v>-94.710599999999999</v>
      </c>
      <c r="H3139">
        <v>-6</v>
      </c>
      <c r="I3139">
        <v>145.1</v>
      </c>
      <c r="J3139" t="str">
        <f>HYPERLINK("https://climate.onebuilding.org/WMO_Region_4_North_and_Central_America/CAN_Canada/MB_Manitoba/CAN_MB_Gillam.AP.719120_TMYx.2009-2023.zip")</f>
        <v>https://climate.onebuilding.org/WMO_Region_4_North_and_Central_America/CAN_Canada/MB_Manitoba/CAN_MB_Gillam.AP.719120_TMYx.2009-2023.zip</v>
      </c>
    </row>
    <row r="3140" spans="1:10" x14ac:dyDescent="0.25">
      <c r="A3140" t="s">
        <v>6</v>
      </c>
      <c r="B3140" t="s">
        <v>94</v>
      </c>
      <c r="C3140" t="s">
        <v>1577</v>
      </c>
      <c r="D3140">
        <v>719120</v>
      </c>
      <c r="E3140" t="s">
        <v>10</v>
      </c>
      <c r="F3140">
        <v>56.357500000000002</v>
      </c>
      <c r="G3140">
        <v>-94.710599999999999</v>
      </c>
      <c r="H3140">
        <v>-6</v>
      </c>
      <c r="I3140">
        <v>145.1</v>
      </c>
      <c r="J3140" t="str">
        <f>HYPERLINK("https://climate.onebuilding.org/WMO_Region_4_North_and_Central_America/CAN_Canada/MB_Manitoba/CAN_MB_Gillam.AP.719120_TMYx.zip")</f>
        <v>https://climate.onebuilding.org/WMO_Region_4_North_and_Central_America/CAN_Canada/MB_Manitoba/CAN_MB_Gillam.AP.719120_TMYx.zip</v>
      </c>
    </row>
    <row r="3141" spans="1:10" x14ac:dyDescent="0.25">
      <c r="A3141" t="s">
        <v>6</v>
      </c>
      <c r="B3141" t="s">
        <v>55</v>
      </c>
      <c r="C3141" t="s">
        <v>1579</v>
      </c>
      <c r="D3141">
        <v>719140</v>
      </c>
      <c r="E3141" t="s">
        <v>1580</v>
      </c>
      <c r="F3141">
        <v>48.775300000000001</v>
      </c>
      <c r="G3141">
        <v>-123.1281</v>
      </c>
      <c r="H3141">
        <v>-8</v>
      </c>
      <c r="I3141">
        <v>178</v>
      </c>
      <c r="J3141" t="str">
        <f>HYPERLINK("https://climate.onebuilding.org/WMO_Region_4_North_and_Central_America/CAN_Canada/BC_British_Columbia/CAN_BC_Capmon.CS-Saturna.Island.719140_TMYx.2004-2018.zip")</f>
        <v>https://climate.onebuilding.org/WMO_Region_4_North_and_Central_America/CAN_Canada/BC_British_Columbia/CAN_BC_Capmon.CS-Saturna.Island.719140_TMYx.2004-2018.zip</v>
      </c>
    </row>
    <row r="3142" spans="1:10" x14ac:dyDescent="0.25">
      <c r="A3142" t="s">
        <v>6</v>
      </c>
      <c r="B3142" t="s">
        <v>55</v>
      </c>
      <c r="C3142" t="s">
        <v>1579</v>
      </c>
      <c r="D3142">
        <v>719140</v>
      </c>
      <c r="E3142" t="s">
        <v>10</v>
      </c>
      <c r="F3142">
        <v>48.775300000000001</v>
      </c>
      <c r="G3142">
        <v>-123.1281</v>
      </c>
      <c r="H3142">
        <v>-8</v>
      </c>
      <c r="I3142">
        <v>178</v>
      </c>
      <c r="J3142" t="str">
        <f>HYPERLINK("https://climate.onebuilding.org/WMO_Region_4_North_and_Central_America/CAN_Canada/BC_British_Columbia/CAN_BC_Capmon.CS-Saturna.Island.719140_TMYx.2007-2021.zip")</f>
        <v>https://climate.onebuilding.org/WMO_Region_4_North_and_Central_America/CAN_Canada/BC_British_Columbia/CAN_BC_Capmon.CS-Saturna.Island.719140_TMYx.2007-2021.zip</v>
      </c>
    </row>
    <row r="3143" spans="1:10" x14ac:dyDescent="0.25">
      <c r="A3143" t="s">
        <v>6</v>
      </c>
      <c r="B3143" t="s">
        <v>55</v>
      </c>
      <c r="C3143" t="s">
        <v>1579</v>
      </c>
      <c r="D3143">
        <v>719140</v>
      </c>
      <c r="E3143" t="s">
        <v>10</v>
      </c>
      <c r="F3143">
        <v>48.775300000000001</v>
      </c>
      <c r="G3143">
        <v>-123.1281</v>
      </c>
      <c r="H3143">
        <v>-8</v>
      </c>
      <c r="I3143">
        <v>178</v>
      </c>
      <c r="J3143" t="str">
        <f>HYPERLINK("https://climate.onebuilding.org/WMO_Region_4_North_and_Central_America/CAN_Canada/BC_British_Columbia/CAN_BC_Capmon.CS-Saturna.Island.719140_TMYx.2009-2023.zip")</f>
        <v>https://climate.onebuilding.org/WMO_Region_4_North_and_Central_America/CAN_Canada/BC_British_Columbia/CAN_BC_Capmon.CS-Saturna.Island.719140_TMYx.2009-2023.zip</v>
      </c>
    </row>
    <row r="3144" spans="1:10" x14ac:dyDescent="0.25">
      <c r="A3144" t="s">
        <v>6</v>
      </c>
      <c r="B3144" t="s">
        <v>55</v>
      </c>
      <c r="C3144" t="s">
        <v>1579</v>
      </c>
      <c r="D3144">
        <v>719140</v>
      </c>
      <c r="E3144" t="s">
        <v>10</v>
      </c>
      <c r="F3144">
        <v>48.775300000000001</v>
      </c>
      <c r="G3144">
        <v>-123.1281</v>
      </c>
      <c r="H3144">
        <v>-8</v>
      </c>
      <c r="I3144">
        <v>178</v>
      </c>
      <c r="J3144" t="str">
        <f>HYPERLINK("https://climate.onebuilding.org/WMO_Region_4_North_and_Central_America/CAN_Canada/BC_British_Columbia/CAN_BC_Capmon.CS-Saturna.Island.719140_TMYx.zip")</f>
        <v>https://climate.onebuilding.org/WMO_Region_4_North_and_Central_America/CAN_Canada/BC_British_Columbia/CAN_BC_Capmon.CS-Saturna.Island.719140_TMYx.zip</v>
      </c>
    </row>
    <row r="3145" spans="1:10" x14ac:dyDescent="0.25">
      <c r="A3145" t="s">
        <v>6</v>
      </c>
      <c r="B3145" t="s">
        <v>42</v>
      </c>
      <c r="C3145" t="s">
        <v>1581</v>
      </c>
      <c r="D3145">
        <v>719141</v>
      </c>
      <c r="E3145" t="s">
        <v>10</v>
      </c>
      <c r="F3145">
        <v>69.55</v>
      </c>
      <c r="G3145">
        <v>-93.582999999999998</v>
      </c>
      <c r="H3145">
        <v>-7</v>
      </c>
      <c r="I3145">
        <v>26</v>
      </c>
      <c r="J3145" t="str">
        <f>HYPERLINK("https://climate.onebuilding.org/WMO_Region_4_North_and_Central_America/CAN_Canada/NU_Nunavut/CAN_NU_Taloyak.AP.719141_TMYx.zip")</f>
        <v>https://climate.onebuilding.org/WMO_Region_4_North_and_Central_America/CAN_Canada/NU_Nunavut/CAN_NU_Taloyak.AP.719141_TMYx.zip</v>
      </c>
    </row>
    <row r="3146" spans="1:10" x14ac:dyDescent="0.25">
      <c r="A3146" t="s">
        <v>6</v>
      </c>
      <c r="B3146" t="s">
        <v>42</v>
      </c>
      <c r="C3146" t="s">
        <v>1582</v>
      </c>
      <c r="D3146">
        <v>719143</v>
      </c>
      <c r="E3146" t="s">
        <v>1583</v>
      </c>
      <c r="F3146">
        <v>72.981999999999999</v>
      </c>
      <c r="G3146">
        <v>-84.614000000000004</v>
      </c>
      <c r="H3146">
        <v>-5</v>
      </c>
      <c r="I3146">
        <v>641.9</v>
      </c>
      <c r="J3146" t="str">
        <f>HYPERLINK("https://climate.onebuilding.org/WMO_Region_4_North_and_Central_America/CAN_Canada/NU_Nunavut/CAN_NU_Nanisivik.AP.719143_TMYx.2004-2018.zip")</f>
        <v>https://climate.onebuilding.org/WMO_Region_4_North_and_Central_America/CAN_Canada/NU_Nunavut/CAN_NU_Nanisivik.AP.719143_TMYx.2004-2018.zip</v>
      </c>
    </row>
    <row r="3147" spans="1:10" x14ac:dyDescent="0.25">
      <c r="A3147" t="s">
        <v>6</v>
      </c>
      <c r="B3147" t="s">
        <v>42</v>
      </c>
      <c r="C3147" t="s">
        <v>1582</v>
      </c>
      <c r="D3147">
        <v>719143</v>
      </c>
      <c r="E3147" t="s">
        <v>10</v>
      </c>
      <c r="F3147">
        <v>72.981999999999999</v>
      </c>
      <c r="G3147">
        <v>-84.614000000000004</v>
      </c>
      <c r="H3147">
        <v>-5</v>
      </c>
      <c r="I3147">
        <v>641.9</v>
      </c>
      <c r="J3147" t="str">
        <f>HYPERLINK("https://climate.onebuilding.org/WMO_Region_4_North_and_Central_America/CAN_Canada/NU_Nunavut/CAN_NU_Nanisivik.AP.719143_TMYx.2007-2021.zip")</f>
        <v>https://climate.onebuilding.org/WMO_Region_4_North_and_Central_America/CAN_Canada/NU_Nunavut/CAN_NU_Nanisivik.AP.719143_TMYx.2007-2021.zip</v>
      </c>
    </row>
    <row r="3148" spans="1:10" x14ac:dyDescent="0.25">
      <c r="A3148" t="s">
        <v>6</v>
      </c>
      <c r="B3148" t="s">
        <v>42</v>
      </c>
      <c r="C3148" t="s">
        <v>1582</v>
      </c>
      <c r="D3148">
        <v>719143</v>
      </c>
      <c r="E3148" t="s">
        <v>10</v>
      </c>
      <c r="F3148">
        <v>72.981999999999999</v>
      </c>
      <c r="G3148">
        <v>-84.614000000000004</v>
      </c>
      <c r="H3148">
        <v>-5</v>
      </c>
      <c r="I3148">
        <v>641.9</v>
      </c>
      <c r="J3148" t="str">
        <f>HYPERLINK("https://climate.onebuilding.org/WMO_Region_4_North_and_Central_America/CAN_Canada/NU_Nunavut/CAN_NU_Nanisivik.AP.719143_TMYx.zip")</f>
        <v>https://climate.onebuilding.org/WMO_Region_4_North_and_Central_America/CAN_Canada/NU_Nunavut/CAN_NU_Nanisivik.AP.719143_TMYx.zip</v>
      </c>
    </row>
    <row r="3149" spans="1:10" x14ac:dyDescent="0.25">
      <c r="A3149" t="s">
        <v>6</v>
      </c>
      <c r="B3149" t="s">
        <v>42</v>
      </c>
      <c r="C3149" t="s">
        <v>1584</v>
      </c>
      <c r="D3149">
        <v>719150</v>
      </c>
      <c r="E3149" t="s">
        <v>1585</v>
      </c>
      <c r="F3149">
        <v>64.193299999999994</v>
      </c>
      <c r="G3149">
        <v>-83.359399999999994</v>
      </c>
      <c r="H3149">
        <v>-5</v>
      </c>
      <c r="I3149">
        <v>62.2</v>
      </c>
      <c r="J3149" t="str">
        <f>HYPERLINK("https://climate.onebuilding.org/WMO_Region_4_North_and_Central_America/CAN_Canada/NU_Nunavut/CAN_NU_Coral.Harbour.AP.719150_TMYx.2004-2018.zip")</f>
        <v>https://climate.onebuilding.org/WMO_Region_4_North_and_Central_America/CAN_Canada/NU_Nunavut/CAN_NU_Coral.Harbour.AP.719150_TMYx.2004-2018.zip</v>
      </c>
    </row>
    <row r="3150" spans="1:10" x14ac:dyDescent="0.25">
      <c r="A3150" t="s">
        <v>6</v>
      </c>
      <c r="B3150" t="s">
        <v>42</v>
      </c>
      <c r="C3150" t="s">
        <v>1584</v>
      </c>
      <c r="D3150">
        <v>719150</v>
      </c>
      <c r="E3150" t="s">
        <v>10</v>
      </c>
      <c r="F3150">
        <v>64.193299999999994</v>
      </c>
      <c r="G3150">
        <v>-83.359399999999994</v>
      </c>
      <c r="H3150">
        <v>-5</v>
      </c>
      <c r="I3150">
        <v>62.2</v>
      </c>
      <c r="J3150" t="str">
        <f>HYPERLINK("https://climate.onebuilding.org/WMO_Region_4_North_and_Central_America/CAN_Canada/NU_Nunavut/CAN_NU_Coral.Harbour.AP.719150_TMYx.2007-2021.zip")</f>
        <v>https://climate.onebuilding.org/WMO_Region_4_North_and_Central_America/CAN_Canada/NU_Nunavut/CAN_NU_Coral.Harbour.AP.719150_TMYx.2007-2021.zip</v>
      </c>
    </row>
    <row r="3151" spans="1:10" x14ac:dyDescent="0.25">
      <c r="A3151" t="s">
        <v>6</v>
      </c>
      <c r="B3151" t="s">
        <v>42</v>
      </c>
      <c r="C3151" t="s">
        <v>1584</v>
      </c>
      <c r="D3151">
        <v>719150</v>
      </c>
      <c r="E3151" t="s">
        <v>10</v>
      </c>
      <c r="F3151">
        <v>64.193299999999994</v>
      </c>
      <c r="G3151">
        <v>-83.359399999999994</v>
      </c>
      <c r="H3151">
        <v>-5</v>
      </c>
      <c r="I3151">
        <v>62.2</v>
      </c>
      <c r="J3151" t="str">
        <f>HYPERLINK("https://climate.onebuilding.org/WMO_Region_4_North_and_Central_America/CAN_Canada/NU_Nunavut/CAN_NU_Coral.Harbour.AP.719150_TMYx.2009-2023.zip")</f>
        <v>https://climate.onebuilding.org/WMO_Region_4_North_and_Central_America/CAN_Canada/NU_Nunavut/CAN_NU_Coral.Harbour.AP.719150_TMYx.2009-2023.zip</v>
      </c>
    </row>
    <row r="3152" spans="1:10" x14ac:dyDescent="0.25">
      <c r="A3152" t="s">
        <v>6</v>
      </c>
      <c r="B3152" t="s">
        <v>42</v>
      </c>
      <c r="C3152" t="s">
        <v>1584</v>
      </c>
      <c r="D3152">
        <v>719150</v>
      </c>
      <c r="E3152" t="s">
        <v>10</v>
      </c>
      <c r="F3152">
        <v>64.193299999999994</v>
      </c>
      <c r="G3152">
        <v>-83.359399999999994</v>
      </c>
      <c r="H3152">
        <v>-5</v>
      </c>
      <c r="I3152">
        <v>62.2</v>
      </c>
      <c r="J3152" t="str">
        <f>HYPERLINK("https://climate.onebuilding.org/WMO_Region_4_North_and_Central_America/CAN_Canada/NU_Nunavut/CAN_NU_Coral.Harbour.AP.719150_TMYx.zip")</f>
        <v>https://climate.onebuilding.org/WMO_Region_4_North_and_Central_America/CAN_Canada/NU_Nunavut/CAN_NU_Coral.Harbour.AP.719150_TMYx.zip</v>
      </c>
    </row>
    <row r="3153" spans="1:10" x14ac:dyDescent="0.25">
      <c r="A3153" t="s">
        <v>6</v>
      </c>
      <c r="B3153" t="s">
        <v>48</v>
      </c>
      <c r="C3153" t="s">
        <v>1586</v>
      </c>
      <c r="D3153">
        <v>719160</v>
      </c>
      <c r="E3153" t="s">
        <v>1587</v>
      </c>
      <c r="F3153">
        <v>73.230800000000002</v>
      </c>
      <c r="G3153">
        <v>-119.53830000000001</v>
      </c>
      <c r="H3153">
        <v>-7</v>
      </c>
      <c r="I3153">
        <v>41.5</v>
      </c>
      <c r="J3153" t="str">
        <f>HYPERLINK("https://climate.onebuilding.org/WMO_Region_4_North_and_Central_America/CAN_Canada/NT_Northwest_Territories/CAN_NT_Thomsen.River.719160_TMYx.2004-2018.zip")</f>
        <v>https://climate.onebuilding.org/WMO_Region_4_North_and_Central_America/CAN_Canada/NT_Northwest_Territories/CAN_NT_Thomsen.River.719160_TMYx.2004-2018.zip</v>
      </c>
    </row>
    <row r="3154" spans="1:10" x14ac:dyDescent="0.25">
      <c r="A3154" t="s">
        <v>6</v>
      </c>
      <c r="B3154" t="s">
        <v>48</v>
      </c>
      <c r="C3154" t="s">
        <v>1586</v>
      </c>
      <c r="D3154">
        <v>719160</v>
      </c>
      <c r="E3154" t="s">
        <v>10</v>
      </c>
      <c r="F3154">
        <v>73.231099999999998</v>
      </c>
      <c r="G3154">
        <v>-119.5406</v>
      </c>
      <c r="H3154">
        <v>-7</v>
      </c>
      <c r="I3154">
        <v>41.5</v>
      </c>
      <c r="J3154" t="str">
        <f>HYPERLINK("https://climate.onebuilding.org/WMO_Region_4_North_and_Central_America/CAN_Canada/NT_Northwest_Territories/CAN_NT_Thomsen.River.719160_TMYx.2007-2021.zip")</f>
        <v>https://climate.onebuilding.org/WMO_Region_4_North_and_Central_America/CAN_Canada/NT_Northwest_Territories/CAN_NT_Thomsen.River.719160_TMYx.2007-2021.zip</v>
      </c>
    </row>
    <row r="3155" spans="1:10" x14ac:dyDescent="0.25">
      <c r="A3155" t="s">
        <v>6</v>
      </c>
      <c r="B3155" t="s">
        <v>48</v>
      </c>
      <c r="C3155" t="s">
        <v>1586</v>
      </c>
      <c r="D3155">
        <v>719160</v>
      </c>
      <c r="E3155" t="s">
        <v>10</v>
      </c>
      <c r="F3155">
        <v>73.231099999999998</v>
      </c>
      <c r="G3155">
        <v>-119.5406</v>
      </c>
      <c r="H3155">
        <v>-7</v>
      </c>
      <c r="I3155">
        <v>41.5</v>
      </c>
      <c r="J3155" t="str">
        <f>HYPERLINK("https://climate.onebuilding.org/WMO_Region_4_North_and_Central_America/CAN_Canada/NT_Northwest_Territories/CAN_NT_Thomsen.River.719160_TMYx.2009-2023.zip")</f>
        <v>https://climate.onebuilding.org/WMO_Region_4_North_and_Central_America/CAN_Canada/NT_Northwest_Territories/CAN_NT_Thomsen.River.719160_TMYx.2009-2023.zip</v>
      </c>
    </row>
    <row r="3156" spans="1:10" x14ac:dyDescent="0.25">
      <c r="A3156" t="s">
        <v>6</v>
      </c>
      <c r="B3156" t="s">
        <v>48</v>
      </c>
      <c r="C3156" t="s">
        <v>1586</v>
      </c>
      <c r="D3156">
        <v>719160</v>
      </c>
      <c r="E3156" t="s">
        <v>10</v>
      </c>
      <c r="F3156">
        <v>73.231099999999998</v>
      </c>
      <c r="G3156">
        <v>-119.5406</v>
      </c>
      <c r="H3156">
        <v>-7</v>
      </c>
      <c r="I3156">
        <v>41.5</v>
      </c>
      <c r="J3156" t="str">
        <f>HYPERLINK("https://climate.onebuilding.org/WMO_Region_4_North_and_Central_America/CAN_Canada/NT_Northwest_Territories/CAN_NT_Thomsen.River.719160_TMYx.zip")</f>
        <v>https://climate.onebuilding.org/WMO_Region_4_North_and_Central_America/CAN_Canada/NT_Northwest_Territories/CAN_NT_Thomsen.River.719160_TMYx.zip</v>
      </c>
    </row>
    <row r="3157" spans="1:10" x14ac:dyDescent="0.25">
      <c r="A3157" t="s">
        <v>6</v>
      </c>
      <c r="B3157" t="s">
        <v>42</v>
      </c>
      <c r="C3157" t="s">
        <v>1588</v>
      </c>
      <c r="D3157">
        <v>719170</v>
      </c>
      <c r="E3157" t="s">
        <v>1589</v>
      </c>
      <c r="F3157">
        <v>79.989000000000004</v>
      </c>
      <c r="G3157">
        <v>-85.933999999999997</v>
      </c>
      <c r="H3157">
        <v>-6</v>
      </c>
      <c r="I3157">
        <v>10.4</v>
      </c>
      <c r="J3157" t="str">
        <f>HYPERLINK("https://climate.onebuilding.org/WMO_Region_4_North_and_Central_America/CAN_Canada/NU_Nunavut/CAN_NU_Eureka.719170_TMYx.2004-2018.zip")</f>
        <v>https://climate.onebuilding.org/WMO_Region_4_North_and_Central_America/CAN_Canada/NU_Nunavut/CAN_NU_Eureka.719170_TMYx.2004-2018.zip</v>
      </c>
    </row>
    <row r="3158" spans="1:10" x14ac:dyDescent="0.25">
      <c r="A3158" t="s">
        <v>6</v>
      </c>
      <c r="B3158" t="s">
        <v>42</v>
      </c>
      <c r="C3158" t="s">
        <v>1588</v>
      </c>
      <c r="D3158">
        <v>719170</v>
      </c>
      <c r="E3158" t="s">
        <v>10</v>
      </c>
      <c r="F3158">
        <v>79.989000000000004</v>
      </c>
      <c r="G3158">
        <v>-85.933999999999997</v>
      </c>
      <c r="H3158">
        <v>-6</v>
      </c>
      <c r="I3158">
        <v>10.4</v>
      </c>
      <c r="J3158" t="str">
        <f>HYPERLINK("https://climate.onebuilding.org/WMO_Region_4_North_and_Central_America/CAN_Canada/NU_Nunavut/CAN_NU_Eureka.719170_TMYx.2007-2021.zip")</f>
        <v>https://climate.onebuilding.org/WMO_Region_4_North_and_Central_America/CAN_Canada/NU_Nunavut/CAN_NU_Eureka.719170_TMYx.2007-2021.zip</v>
      </c>
    </row>
    <row r="3159" spans="1:10" x14ac:dyDescent="0.25">
      <c r="A3159" t="s">
        <v>6</v>
      </c>
      <c r="B3159" t="s">
        <v>42</v>
      </c>
      <c r="C3159" t="s">
        <v>1588</v>
      </c>
      <c r="D3159">
        <v>719170</v>
      </c>
      <c r="E3159" t="s">
        <v>10</v>
      </c>
      <c r="F3159">
        <v>79.989000000000004</v>
      </c>
      <c r="G3159">
        <v>-85.933999999999997</v>
      </c>
      <c r="H3159">
        <v>-6</v>
      </c>
      <c r="I3159">
        <v>10.4</v>
      </c>
      <c r="J3159" t="str">
        <f>HYPERLINK("https://climate.onebuilding.org/WMO_Region_4_North_and_Central_America/CAN_Canada/NU_Nunavut/CAN_NU_Eureka.719170_TMYx.2009-2023.zip")</f>
        <v>https://climate.onebuilding.org/WMO_Region_4_North_and_Central_America/CAN_Canada/NU_Nunavut/CAN_NU_Eureka.719170_TMYx.2009-2023.zip</v>
      </c>
    </row>
    <row r="3160" spans="1:10" x14ac:dyDescent="0.25">
      <c r="A3160" t="s">
        <v>6</v>
      </c>
      <c r="B3160" t="s">
        <v>42</v>
      </c>
      <c r="C3160" t="s">
        <v>1588</v>
      </c>
      <c r="D3160">
        <v>719170</v>
      </c>
      <c r="E3160" t="s">
        <v>10</v>
      </c>
      <c r="F3160">
        <v>79.989000000000004</v>
      </c>
      <c r="G3160">
        <v>-85.933999999999997</v>
      </c>
      <c r="H3160">
        <v>-6</v>
      </c>
      <c r="I3160">
        <v>10.4</v>
      </c>
      <c r="J3160" t="str">
        <f>HYPERLINK("https://climate.onebuilding.org/WMO_Region_4_North_and_Central_America/CAN_Canada/NU_Nunavut/CAN_NU_Eureka.719170_TMYx.zip")</f>
        <v>https://climate.onebuilding.org/WMO_Region_4_North_and_Central_America/CAN_Canada/NU_Nunavut/CAN_NU_Eureka.719170_TMYx.zip</v>
      </c>
    </row>
    <row r="3161" spans="1:10" x14ac:dyDescent="0.25">
      <c r="A3161" t="s">
        <v>6</v>
      </c>
      <c r="B3161" t="s">
        <v>42</v>
      </c>
      <c r="C3161" t="s">
        <v>1590</v>
      </c>
      <c r="D3161">
        <v>719180</v>
      </c>
      <c r="E3161" t="s">
        <v>1591</v>
      </c>
      <c r="F3161">
        <v>68.436899999999994</v>
      </c>
      <c r="G3161">
        <v>-89.725800000000007</v>
      </c>
      <c r="H3161">
        <v>-7</v>
      </c>
      <c r="I3161">
        <v>328</v>
      </c>
      <c r="J3161" t="str">
        <f>HYPERLINK("https://climate.onebuilding.org/WMO_Region_4_North_and_Central_America/CAN_Canada/NU_Nunavut/CAN_NU_Cam.Four.719180_TMYx.2004-2018.zip")</f>
        <v>https://climate.onebuilding.org/WMO_Region_4_North_and_Central_America/CAN_Canada/NU_Nunavut/CAN_NU_Cam.Four.719180_TMYx.2004-2018.zip</v>
      </c>
    </row>
    <row r="3162" spans="1:10" x14ac:dyDescent="0.25">
      <c r="A3162" t="s">
        <v>6</v>
      </c>
      <c r="B3162" t="s">
        <v>42</v>
      </c>
      <c r="C3162" t="s">
        <v>1590</v>
      </c>
      <c r="D3162">
        <v>719180</v>
      </c>
      <c r="E3162" t="s">
        <v>10</v>
      </c>
      <c r="F3162">
        <v>68.436899999999994</v>
      </c>
      <c r="G3162">
        <v>-89.725800000000007</v>
      </c>
      <c r="H3162">
        <v>-7</v>
      </c>
      <c r="I3162">
        <v>328</v>
      </c>
      <c r="J3162" t="str">
        <f>HYPERLINK("https://climate.onebuilding.org/WMO_Region_4_North_and_Central_America/CAN_Canada/NU_Nunavut/CAN_NU_Cam.Four.719180_TMYx.2007-2021.zip")</f>
        <v>https://climate.onebuilding.org/WMO_Region_4_North_and_Central_America/CAN_Canada/NU_Nunavut/CAN_NU_Cam.Four.719180_TMYx.2007-2021.zip</v>
      </c>
    </row>
    <row r="3163" spans="1:10" x14ac:dyDescent="0.25">
      <c r="A3163" t="s">
        <v>6</v>
      </c>
      <c r="B3163" t="s">
        <v>42</v>
      </c>
      <c r="C3163" t="s">
        <v>1590</v>
      </c>
      <c r="D3163">
        <v>719180</v>
      </c>
      <c r="E3163" t="s">
        <v>10</v>
      </c>
      <c r="F3163">
        <v>68.436899999999994</v>
      </c>
      <c r="G3163">
        <v>-89.725800000000007</v>
      </c>
      <c r="H3163">
        <v>-7</v>
      </c>
      <c r="I3163">
        <v>328</v>
      </c>
      <c r="J3163" t="str">
        <f>HYPERLINK("https://climate.onebuilding.org/WMO_Region_4_North_and_Central_America/CAN_Canada/NU_Nunavut/CAN_NU_Cam.Four.719180_TMYx.2009-2023.zip")</f>
        <v>https://climate.onebuilding.org/WMO_Region_4_North_and_Central_America/CAN_Canada/NU_Nunavut/CAN_NU_Cam.Four.719180_TMYx.2009-2023.zip</v>
      </c>
    </row>
    <row r="3164" spans="1:10" x14ac:dyDescent="0.25">
      <c r="A3164" t="s">
        <v>6</v>
      </c>
      <c r="B3164" t="s">
        <v>42</v>
      </c>
      <c r="C3164" t="s">
        <v>1590</v>
      </c>
      <c r="D3164">
        <v>719180</v>
      </c>
      <c r="E3164" t="s">
        <v>10</v>
      </c>
      <c r="F3164">
        <v>68.436899999999994</v>
      </c>
      <c r="G3164">
        <v>-89.725800000000007</v>
      </c>
      <c r="H3164">
        <v>-7</v>
      </c>
      <c r="I3164">
        <v>328</v>
      </c>
      <c r="J3164" t="str">
        <f>HYPERLINK("https://climate.onebuilding.org/WMO_Region_4_North_and_Central_America/CAN_Canada/NU_Nunavut/CAN_NU_Cam.Four.719180_TMYx.zip")</f>
        <v>https://climate.onebuilding.org/WMO_Region_4_North_and_Central_America/CAN_Canada/NU_Nunavut/CAN_NU_Cam.Four.719180_TMYx.zip</v>
      </c>
    </row>
    <row r="3165" spans="1:10" x14ac:dyDescent="0.25">
      <c r="A3165" t="s">
        <v>6</v>
      </c>
      <c r="B3165" t="s">
        <v>68</v>
      </c>
      <c r="C3165" t="s">
        <v>1592</v>
      </c>
      <c r="D3165">
        <v>719200</v>
      </c>
      <c r="E3165" t="s">
        <v>1593</v>
      </c>
      <c r="F3165">
        <v>43.450800000000001</v>
      </c>
      <c r="G3165">
        <v>-65.471699999999998</v>
      </c>
      <c r="H3165">
        <v>-4</v>
      </c>
      <c r="I3165">
        <v>5.7</v>
      </c>
      <c r="J3165" t="str">
        <f>HYPERLINK("https://climate.onebuilding.org/WMO_Region_4_North_and_Central_America/CAN_Canada/NS_Nova_Scotia/CAN_NS_Baccaro.Point.719200_TMYx.2004-2018.zip")</f>
        <v>https://climate.onebuilding.org/WMO_Region_4_North_and_Central_America/CAN_Canada/NS_Nova_Scotia/CAN_NS_Baccaro.Point.719200_TMYx.2004-2018.zip</v>
      </c>
    </row>
    <row r="3166" spans="1:10" x14ac:dyDescent="0.25">
      <c r="A3166" t="s">
        <v>6</v>
      </c>
      <c r="B3166" t="s">
        <v>68</v>
      </c>
      <c r="C3166" t="s">
        <v>1592</v>
      </c>
      <c r="D3166">
        <v>719200</v>
      </c>
      <c r="E3166" t="s">
        <v>10</v>
      </c>
      <c r="F3166">
        <v>43.450800000000001</v>
      </c>
      <c r="G3166">
        <v>-65.471699999999998</v>
      </c>
      <c r="H3166">
        <v>-4</v>
      </c>
      <c r="I3166">
        <v>5.7</v>
      </c>
      <c r="J3166" t="str">
        <f>HYPERLINK("https://climate.onebuilding.org/WMO_Region_4_North_and_Central_America/CAN_Canada/NS_Nova_Scotia/CAN_NS_Baccaro.Point.719200_TMYx.2007-2021.zip")</f>
        <v>https://climate.onebuilding.org/WMO_Region_4_North_and_Central_America/CAN_Canada/NS_Nova_Scotia/CAN_NS_Baccaro.Point.719200_TMYx.2007-2021.zip</v>
      </c>
    </row>
    <row r="3167" spans="1:10" x14ac:dyDescent="0.25">
      <c r="A3167" t="s">
        <v>6</v>
      </c>
      <c r="B3167" t="s">
        <v>68</v>
      </c>
      <c r="C3167" t="s">
        <v>1592</v>
      </c>
      <c r="D3167">
        <v>719200</v>
      </c>
      <c r="E3167" t="s">
        <v>10</v>
      </c>
      <c r="F3167">
        <v>43.450800000000001</v>
      </c>
      <c r="G3167">
        <v>-65.471699999999998</v>
      </c>
      <c r="H3167">
        <v>-4</v>
      </c>
      <c r="I3167">
        <v>5.7</v>
      </c>
      <c r="J3167" t="str">
        <f>HYPERLINK("https://climate.onebuilding.org/WMO_Region_4_North_and_Central_America/CAN_Canada/NS_Nova_Scotia/CAN_NS_Baccaro.Point.719200_TMYx.2009-2023.zip")</f>
        <v>https://climate.onebuilding.org/WMO_Region_4_North_and_Central_America/CAN_Canada/NS_Nova_Scotia/CAN_NS_Baccaro.Point.719200_TMYx.2009-2023.zip</v>
      </c>
    </row>
    <row r="3168" spans="1:10" x14ac:dyDescent="0.25">
      <c r="A3168" t="s">
        <v>6</v>
      </c>
      <c r="B3168" t="s">
        <v>68</v>
      </c>
      <c r="C3168" t="s">
        <v>1592</v>
      </c>
      <c r="D3168">
        <v>719200</v>
      </c>
      <c r="E3168" t="s">
        <v>10</v>
      </c>
      <c r="F3168">
        <v>43.450800000000001</v>
      </c>
      <c r="G3168">
        <v>-65.471699999999998</v>
      </c>
      <c r="H3168">
        <v>-4</v>
      </c>
      <c r="I3168">
        <v>5.7</v>
      </c>
      <c r="J3168" t="str">
        <f>HYPERLINK("https://climate.onebuilding.org/WMO_Region_4_North_and_Central_America/CAN_Canada/NS_Nova_Scotia/CAN_NS_Baccaro.Point.719200_TMYx.zip")</f>
        <v>https://climate.onebuilding.org/WMO_Region_4_North_and_Central_America/CAN_Canada/NS_Nova_Scotia/CAN_NS_Baccaro.Point.719200_TMYx.zip</v>
      </c>
    </row>
    <row r="3169" spans="1:10" x14ac:dyDescent="0.25">
      <c r="A3169" t="s">
        <v>6</v>
      </c>
      <c r="B3169" t="s">
        <v>58</v>
      </c>
      <c r="C3169" t="s">
        <v>1594</v>
      </c>
      <c r="D3169">
        <v>719220</v>
      </c>
      <c r="E3169" t="s">
        <v>1595</v>
      </c>
      <c r="F3169">
        <v>55.15</v>
      </c>
      <c r="G3169">
        <v>-105.2667</v>
      </c>
      <c r="H3169">
        <v>-6</v>
      </c>
      <c r="I3169">
        <v>379.2</v>
      </c>
      <c r="J3169" t="str">
        <f>HYPERLINK("https://climate.onebuilding.org/WMO_Region_4_North_and_Central_America/CAN_Canada/SK_Saskatchewan/CAN_SK_La.Ronge.AP.719220_TMYx.2004-2018.zip")</f>
        <v>https://climate.onebuilding.org/WMO_Region_4_North_and_Central_America/CAN_Canada/SK_Saskatchewan/CAN_SK_La.Ronge.AP.719220_TMYx.2004-2018.zip</v>
      </c>
    </row>
    <row r="3170" spans="1:10" x14ac:dyDescent="0.25">
      <c r="A3170" t="s">
        <v>6</v>
      </c>
      <c r="B3170" t="s">
        <v>58</v>
      </c>
      <c r="C3170" t="s">
        <v>1594</v>
      </c>
      <c r="D3170">
        <v>719220</v>
      </c>
      <c r="E3170" t="s">
        <v>10</v>
      </c>
      <c r="F3170">
        <v>55.1464</v>
      </c>
      <c r="G3170">
        <v>-105.27030000000001</v>
      </c>
      <c r="H3170">
        <v>-6</v>
      </c>
      <c r="I3170">
        <v>379.2</v>
      </c>
      <c r="J3170" t="str">
        <f>HYPERLINK("https://climate.onebuilding.org/WMO_Region_4_North_and_Central_America/CAN_Canada/SK_Saskatchewan/CAN_SK_La.Ronge.AP.719220_TMYx.2007-2021.zip")</f>
        <v>https://climate.onebuilding.org/WMO_Region_4_North_and_Central_America/CAN_Canada/SK_Saskatchewan/CAN_SK_La.Ronge.AP.719220_TMYx.2007-2021.zip</v>
      </c>
    </row>
    <row r="3171" spans="1:10" x14ac:dyDescent="0.25">
      <c r="A3171" t="s">
        <v>6</v>
      </c>
      <c r="B3171" t="s">
        <v>58</v>
      </c>
      <c r="C3171" t="s">
        <v>1594</v>
      </c>
      <c r="D3171">
        <v>719220</v>
      </c>
      <c r="E3171" t="s">
        <v>10</v>
      </c>
      <c r="F3171">
        <v>55.1464</v>
      </c>
      <c r="G3171">
        <v>-105.27030000000001</v>
      </c>
      <c r="H3171">
        <v>-6</v>
      </c>
      <c r="I3171">
        <v>379.2</v>
      </c>
      <c r="J3171" t="str">
        <f>HYPERLINK("https://climate.onebuilding.org/WMO_Region_4_North_and_Central_America/CAN_Canada/SK_Saskatchewan/CAN_SK_La.Ronge.AP.719220_TMYx.2009-2023.zip")</f>
        <v>https://climate.onebuilding.org/WMO_Region_4_North_and_Central_America/CAN_Canada/SK_Saskatchewan/CAN_SK_La.Ronge.AP.719220_TMYx.2009-2023.zip</v>
      </c>
    </row>
    <row r="3172" spans="1:10" x14ac:dyDescent="0.25">
      <c r="A3172" t="s">
        <v>6</v>
      </c>
      <c r="B3172" t="s">
        <v>58</v>
      </c>
      <c r="C3172" t="s">
        <v>1594</v>
      </c>
      <c r="D3172">
        <v>719220</v>
      </c>
      <c r="E3172" t="s">
        <v>10</v>
      </c>
      <c r="F3172">
        <v>55.1464</v>
      </c>
      <c r="G3172">
        <v>-105.27030000000001</v>
      </c>
      <c r="H3172">
        <v>-6</v>
      </c>
      <c r="I3172">
        <v>379.2</v>
      </c>
      <c r="J3172" t="str">
        <f>HYPERLINK("https://climate.onebuilding.org/WMO_Region_4_North_and_Central_America/CAN_Canada/SK_Saskatchewan/CAN_SK_La.Ronge.AP.719220_TMYx.zip")</f>
        <v>https://climate.onebuilding.org/WMO_Region_4_North_and_Central_America/CAN_Canada/SK_Saskatchewan/CAN_SK_La.Ronge.AP.719220_TMYx.zip</v>
      </c>
    </row>
    <row r="3173" spans="1:10" x14ac:dyDescent="0.25">
      <c r="A3173" t="s">
        <v>6</v>
      </c>
      <c r="B3173" t="s">
        <v>42</v>
      </c>
      <c r="C3173" t="s">
        <v>1596</v>
      </c>
      <c r="D3173">
        <v>719230</v>
      </c>
      <c r="E3173" t="s">
        <v>1597</v>
      </c>
      <c r="F3173">
        <v>61.116999999999997</v>
      </c>
      <c r="G3173">
        <v>-100.883</v>
      </c>
      <c r="H3173">
        <v>-6</v>
      </c>
      <c r="I3173">
        <v>353</v>
      </c>
      <c r="J3173" t="str">
        <f>HYPERLINK("https://climate.onebuilding.org/WMO_Region_4_North_and_Central_America/CAN_Canada/NU_Nunavut/CAN_NU_Ennadai.Lake.719230_TMYx.2004-2018.zip")</f>
        <v>https://climate.onebuilding.org/WMO_Region_4_North_and_Central_America/CAN_Canada/NU_Nunavut/CAN_NU_Ennadai.Lake.719230_TMYx.2004-2018.zip</v>
      </c>
    </row>
    <row r="3174" spans="1:10" x14ac:dyDescent="0.25">
      <c r="A3174" t="s">
        <v>6</v>
      </c>
      <c r="B3174" t="s">
        <v>42</v>
      </c>
      <c r="C3174" t="s">
        <v>1596</v>
      </c>
      <c r="D3174">
        <v>719230</v>
      </c>
      <c r="E3174" t="s">
        <v>10</v>
      </c>
      <c r="F3174">
        <v>61.131999999999998</v>
      </c>
      <c r="G3174">
        <v>-100.884</v>
      </c>
      <c r="H3174">
        <v>-6</v>
      </c>
      <c r="I3174">
        <v>353</v>
      </c>
      <c r="J3174" t="str">
        <f>HYPERLINK("https://climate.onebuilding.org/WMO_Region_4_North_and_Central_America/CAN_Canada/NU_Nunavut/CAN_NU_Ennadai.Lake.719230_TMYx.2007-2021.zip")</f>
        <v>https://climate.onebuilding.org/WMO_Region_4_North_and_Central_America/CAN_Canada/NU_Nunavut/CAN_NU_Ennadai.Lake.719230_TMYx.2007-2021.zip</v>
      </c>
    </row>
    <row r="3175" spans="1:10" x14ac:dyDescent="0.25">
      <c r="A3175" t="s">
        <v>6</v>
      </c>
      <c r="B3175" t="s">
        <v>42</v>
      </c>
      <c r="C3175" t="s">
        <v>1596</v>
      </c>
      <c r="D3175">
        <v>719230</v>
      </c>
      <c r="E3175" t="s">
        <v>10</v>
      </c>
      <c r="F3175">
        <v>61.131999999999998</v>
      </c>
      <c r="G3175">
        <v>-100.884</v>
      </c>
      <c r="H3175">
        <v>-6</v>
      </c>
      <c r="I3175">
        <v>353</v>
      </c>
      <c r="J3175" t="str">
        <f>HYPERLINK("https://climate.onebuilding.org/WMO_Region_4_North_and_Central_America/CAN_Canada/NU_Nunavut/CAN_NU_Ennadai.Lake.719230_TMYx.2009-2023.zip")</f>
        <v>https://climate.onebuilding.org/WMO_Region_4_North_and_Central_America/CAN_Canada/NU_Nunavut/CAN_NU_Ennadai.Lake.719230_TMYx.2009-2023.zip</v>
      </c>
    </row>
    <row r="3176" spans="1:10" x14ac:dyDescent="0.25">
      <c r="A3176" t="s">
        <v>6</v>
      </c>
      <c r="B3176" t="s">
        <v>42</v>
      </c>
      <c r="C3176" t="s">
        <v>1596</v>
      </c>
      <c r="D3176">
        <v>719230</v>
      </c>
      <c r="E3176" t="s">
        <v>10</v>
      </c>
      <c r="F3176">
        <v>61.131999999999998</v>
      </c>
      <c r="G3176">
        <v>-100.884</v>
      </c>
      <c r="H3176">
        <v>-6</v>
      </c>
      <c r="I3176">
        <v>353</v>
      </c>
      <c r="J3176" t="str">
        <f>HYPERLINK("https://climate.onebuilding.org/WMO_Region_4_North_and_Central_America/CAN_Canada/NU_Nunavut/CAN_NU_Ennadai.Lake.719230_TMYx.zip")</f>
        <v>https://climate.onebuilding.org/WMO_Region_4_North_and_Central_America/CAN_Canada/NU_Nunavut/CAN_NU_Ennadai.Lake.719230_TMYx.zip</v>
      </c>
    </row>
    <row r="3177" spans="1:10" x14ac:dyDescent="0.25">
      <c r="A3177" t="s">
        <v>6</v>
      </c>
      <c r="B3177" t="s">
        <v>42</v>
      </c>
      <c r="C3177" t="s">
        <v>1598</v>
      </c>
      <c r="D3177">
        <v>719240</v>
      </c>
      <c r="E3177" t="s">
        <v>1599</v>
      </c>
      <c r="F3177">
        <v>74.716899999999995</v>
      </c>
      <c r="G3177">
        <v>-94.969399999999993</v>
      </c>
      <c r="H3177">
        <v>-6</v>
      </c>
      <c r="I3177">
        <v>67.7</v>
      </c>
      <c r="J3177" t="str">
        <f>HYPERLINK("https://climate.onebuilding.org/WMO_Region_4_North_and_Central_America/CAN_Canada/NU_Nunavut/CAN_NU_Resolute.Bay.AP.719240_TMYx.2004-2018.zip")</f>
        <v>https://climate.onebuilding.org/WMO_Region_4_North_and_Central_America/CAN_Canada/NU_Nunavut/CAN_NU_Resolute.Bay.AP.719240_TMYx.2004-2018.zip</v>
      </c>
    </row>
    <row r="3178" spans="1:10" x14ac:dyDescent="0.25">
      <c r="A3178" t="s">
        <v>6</v>
      </c>
      <c r="B3178" t="s">
        <v>42</v>
      </c>
      <c r="C3178" t="s">
        <v>1598</v>
      </c>
      <c r="D3178">
        <v>719240</v>
      </c>
      <c r="E3178" t="s">
        <v>10</v>
      </c>
      <c r="F3178">
        <v>74.716899999999995</v>
      </c>
      <c r="G3178">
        <v>-94.969399999999993</v>
      </c>
      <c r="H3178">
        <v>-6</v>
      </c>
      <c r="I3178">
        <v>67.7</v>
      </c>
      <c r="J3178" t="str">
        <f>HYPERLINK("https://climate.onebuilding.org/WMO_Region_4_North_and_Central_America/CAN_Canada/NU_Nunavut/CAN_NU_Resolute.Bay.AP.719240_TMYx.2007-2021.zip")</f>
        <v>https://climate.onebuilding.org/WMO_Region_4_North_and_Central_America/CAN_Canada/NU_Nunavut/CAN_NU_Resolute.Bay.AP.719240_TMYx.2007-2021.zip</v>
      </c>
    </row>
    <row r="3179" spans="1:10" x14ac:dyDescent="0.25">
      <c r="A3179" t="s">
        <v>6</v>
      </c>
      <c r="B3179" t="s">
        <v>42</v>
      </c>
      <c r="C3179" t="s">
        <v>1598</v>
      </c>
      <c r="D3179">
        <v>719240</v>
      </c>
      <c r="E3179" t="s">
        <v>10</v>
      </c>
      <c r="F3179">
        <v>74.716899999999995</v>
      </c>
      <c r="G3179">
        <v>-94.969399999999993</v>
      </c>
      <c r="H3179">
        <v>-6</v>
      </c>
      <c r="I3179">
        <v>67.7</v>
      </c>
      <c r="J3179" t="str">
        <f>HYPERLINK("https://climate.onebuilding.org/WMO_Region_4_North_and_Central_America/CAN_Canada/NU_Nunavut/CAN_NU_Resolute.Bay.AP.719240_TMYx.2009-2023.zip")</f>
        <v>https://climate.onebuilding.org/WMO_Region_4_North_and_Central_America/CAN_Canada/NU_Nunavut/CAN_NU_Resolute.Bay.AP.719240_TMYx.2009-2023.zip</v>
      </c>
    </row>
    <row r="3180" spans="1:10" x14ac:dyDescent="0.25">
      <c r="A3180" t="s">
        <v>6</v>
      </c>
      <c r="B3180" t="s">
        <v>42</v>
      </c>
      <c r="C3180" t="s">
        <v>1598</v>
      </c>
      <c r="D3180">
        <v>719240</v>
      </c>
      <c r="E3180" t="s">
        <v>10</v>
      </c>
      <c r="F3180">
        <v>74.716899999999995</v>
      </c>
      <c r="G3180">
        <v>-94.969399999999993</v>
      </c>
      <c r="H3180">
        <v>-6</v>
      </c>
      <c r="I3180">
        <v>67.7</v>
      </c>
      <c r="J3180" t="str">
        <f>HYPERLINK("https://climate.onebuilding.org/WMO_Region_4_North_and_Central_America/CAN_Canada/NU_Nunavut/CAN_NU_Resolute.Bay.AP.719240_TMYx.zip")</f>
        <v>https://climate.onebuilding.org/WMO_Region_4_North_and_Central_America/CAN_Canada/NU_Nunavut/CAN_NU_Resolute.Bay.AP.719240_TMYx.zip</v>
      </c>
    </row>
    <row r="3181" spans="1:10" x14ac:dyDescent="0.25">
      <c r="A3181" t="s">
        <v>6</v>
      </c>
      <c r="B3181" t="s">
        <v>42</v>
      </c>
      <c r="C3181" t="s">
        <v>1600</v>
      </c>
      <c r="D3181">
        <v>719250</v>
      </c>
      <c r="E3181" t="s">
        <v>1601</v>
      </c>
      <c r="F3181">
        <v>69.108099999999993</v>
      </c>
      <c r="G3181">
        <v>-105.1383</v>
      </c>
      <c r="H3181">
        <v>-7</v>
      </c>
      <c r="I3181">
        <v>31.1</v>
      </c>
      <c r="J3181" t="str">
        <f>HYPERLINK("https://climate.onebuilding.org/WMO_Region_4_North_and_Central_America/CAN_Canada/NU_Nunavut/CAN_NU_Cambridge.Bay.AP.719250_TMYx.2004-2018.zip")</f>
        <v>https://climate.onebuilding.org/WMO_Region_4_North_and_Central_America/CAN_Canada/NU_Nunavut/CAN_NU_Cambridge.Bay.AP.719250_TMYx.2004-2018.zip</v>
      </c>
    </row>
    <row r="3182" spans="1:10" x14ac:dyDescent="0.25">
      <c r="A3182" t="s">
        <v>6</v>
      </c>
      <c r="B3182" t="s">
        <v>42</v>
      </c>
      <c r="C3182" t="s">
        <v>1600</v>
      </c>
      <c r="D3182">
        <v>719250</v>
      </c>
      <c r="E3182" t="s">
        <v>10</v>
      </c>
      <c r="F3182">
        <v>69.108059999999995</v>
      </c>
      <c r="G3182">
        <v>-105.1383</v>
      </c>
      <c r="H3182">
        <v>-7</v>
      </c>
      <c r="I3182">
        <v>31.1</v>
      </c>
      <c r="J3182" t="str">
        <f>HYPERLINK("https://climate.onebuilding.org/WMO_Region_4_North_and_Central_America/CAN_Canada/NU_Nunavut/CAN_NU_Cambridge.Bay.AP.719250_TMYx.2007-2021.zip")</f>
        <v>https://climate.onebuilding.org/WMO_Region_4_North_and_Central_America/CAN_Canada/NU_Nunavut/CAN_NU_Cambridge.Bay.AP.719250_TMYx.2007-2021.zip</v>
      </c>
    </row>
    <row r="3183" spans="1:10" x14ac:dyDescent="0.25">
      <c r="A3183" t="s">
        <v>6</v>
      </c>
      <c r="B3183" t="s">
        <v>42</v>
      </c>
      <c r="C3183" t="s">
        <v>1600</v>
      </c>
      <c r="D3183">
        <v>719250</v>
      </c>
      <c r="E3183" t="s">
        <v>10</v>
      </c>
      <c r="F3183">
        <v>69.108059999999995</v>
      </c>
      <c r="G3183">
        <v>-105.1383</v>
      </c>
      <c r="H3183">
        <v>-7</v>
      </c>
      <c r="I3183">
        <v>31.1</v>
      </c>
      <c r="J3183" t="str">
        <f>HYPERLINK("https://climate.onebuilding.org/WMO_Region_4_North_and_Central_America/CAN_Canada/NU_Nunavut/CAN_NU_Cambridge.Bay.AP.719250_TMYx.2009-2023.zip")</f>
        <v>https://climate.onebuilding.org/WMO_Region_4_North_and_Central_America/CAN_Canada/NU_Nunavut/CAN_NU_Cambridge.Bay.AP.719250_TMYx.2009-2023.zip</v>
      </c>
    </row>
    <row r="3184" spans="1:10" x14ac:dyDescent="0.25">
      <c r="A3184" t="s">
        <v>6</v>
      </c>
      <c r="B3184" t="s">
        <v>42</v>
      </c>
      <c r="C3184" t="s">
        <v>1600</v>
      </c>
      <c r="D3184">
        <v>719250</v>
      </c>
      <c r="E3184" t="s">
        <v>10</v>
      </c>
      <c r="F3184">
        <v>69.108059999999995</v>
      </c>
      <c r="G3184">
        <v>-105.1383</v>
      </c>
      <c r="H3184">
        <v>-7</v>
      </c>
      <c r="I3184">
        <v>31.1</v>
      </c>
      <c r="J3184" t="str">
        <f>HYPERLINK("https://climate.onebuilding.org/WMO_Region_4_North_and_Central_America/CAN_Canada/NU_Nunavut/CAN_NU_Cambridge.Bay.AP.719250_TMYx.zip")</f>
        <v>https://climate.onebuilding.org/WMO_Region_4_North_and_Central_America/CAN_Canada/NU_Nunavut/CAN_NU_Cambridge.Bay.AP.719250_TMYx.zip</v>
      </c>
    </row>
    <row r="3185" spans="1:10" x14ac:dyDescent="0.25">
      <c r="A3185" t="s">
        <v>6</v>
      </c>
      <c r="B3185" t="s">
        <v>42</v>
      </c>
      <c r="C3185" t="s">
        <v>1602</v>
      </c>
      <c r="D3185">
        <v>719260</v>
      </c>
      <c r="E3185" t="s">
        <v>1603</v>
      </c>
      <c r="F3185">
        <v>64.298900000000003</v>
      </c>
      <c r="G3185">
        <v>-96.077799999999996</v>
      </c>
      <c r="H3185">
        <v>-6</v>
      </c>
      <c r="I3185">
        <v>18.600000000000001</v>
      </c>
      <c r="J3185" t="str">
        <f>HYPERLINK("https://climate.onebuilding.org/WMO_Region_4_North_and_Central_America/CAN_Canada/NU_Nunavut/CAN_NU_Baker.Lake.AP.719260_TMYx.2004-2018.zip")</f>
        <v>https://climate.onebuilding.org/WMO_Region_4_North_and_Central_America/CAN_Canada/NU_Nunavut/CAN_NU_Baker.Lake.AP.719260_TMYx.2004-2018.zip</v>
      </c>
    </row>
    <row r="3186" spans="1:10" x14ac:dyDescent="0.25">
      <c r="A3186" t="s">
        <v>6</v>
      </c>
      <c r="B3186" t="s">
        <v>42</v>
      </c>
      <c r="C3186" t="s">
        <v>1602</v>
      </c>
      <c r="D3186">
        <v>719260</v>
      </c>
      <c r="E3186" t="s">
        <v>10</v>
      </c>
      <c r="F3186">
        <v>64.298900000000003</v>
      </c>
      <c r="G3186">
        <v>-96.077799999999996</v>
      </c>
      <c r="H3186">
        <v>-6</v>
      </c>
      <c r="I3186">
        <v>18.600000000000001</v>
      </c>
      <c r="J3186" t="str">
        <f>HYPERLINK("https://climate.onebuilding.org/WMO_Region_4_North_and_Central_America/CAN_Canada/NU_Nunavut/CAN_NU_Baker.Lake.AP.719260_TMYx.2007-2021.zip")</f>
        <v>https://climate.onebuilding.org/WMO_Region_4_North_and_Central_America/CAN_Canada/NU_Nunavut/CAN_NU_Baker.Lake.AP.719260_TMYx.2007-2021.zip</v>
      </c>
    </row>
    <row r="3187" spans="1:10" x14ac:dyDescent="0.25">
      <c r="A3187" t="s">
        <v>6</v>
      </c>
      <c r="B3187" t="s">
        <v>42</v>
      </c>
      <c r="C3187" t="s">
        <v>1602</v>
      </c>
      <c r="D3187">
        <v>719260</v>
      </c>
      <c r="E3187" t="s">
        <v>10</v>
      </c>
      <c r="F3187">
        <v>64.298900000000003</v>
      </c>
      <c r="G3187">
        <v>-96.077799999999996</v>
      </c>
      <c r="H3187">
        <v>-6</v>
      </c>
      <c r="I3187">
        <v>18.600000000000001</v>
      </c>
      <c r="J3187" t="str">
        <f>HYPERLINK("https://climate.onebuilding.org/WMO_Region_4_North_and_Central_America/CAN_Canada/NU_Nunavut/CAN_NU_Baker.Lake.AP.719260_TMYx.2009-2023.zip")</f>
        <v>https://climate.onebuilding.org/WMO_Region_4_North_and_Central_America/CAN_Canada/NU_Nunavut/CAN_NU_Baker.Lake.AP.719260_TMYx.2009-2023.zip</v>
      </c>
    </row>
    <row r="3188" spans="1:10" x14ac:dyDescent="0.25">
      <c r="A3188" t="s">
        <v>6</v>
      </c>
      <c r="B3188" t="s">
        <v>42</v>
      </c>
      <c r="C3188" t="s">
        <v>1602</v>
      </c>
      <c r="D3188">
        <v>719260</v>
      </c>
      <c r="E3188" t="s">
        <v>10</v>
      </c>
      <c r="F3188">
        <v>64.298900000000003</v>
      </c>
      <c r="G3188">
        <v>-96.077799999999996</v>
      </c>
      <c r="H3188">
        <v>-6</v>
      </c>
      <c r="I3188">
        <v>18.600000000000001</v>
      </c>
      <c r="J3188" t="str">
        <f>HYPERLINK("https://climate.onebuilding.org/WMO_Region_4_North_and_Central_America/CAN_Canada/NU_Nunavut/CAN_NU_Baker.Lake.AP.719260_TMYx.zip")</f>
        <v>https://climate.onebuilding.org/WMO_Region_4_North_and_Central_America/CAN_Canada/NU_Nunavut/CAN_NU_Baker.Lake.AP.719260_TMYx.zip</v>
      </c>
    </row>
    <row r="3189" spans="1:10" x14ac:dyDescent="0.25">
      <c r="A3189" t="s">
        <v>6</v>
      </c>
      <c r="B3189" t="s">
        <v>55</v>
      </c>
      <c r="C3189" t="s">
        <v>1604</v>
      </c>
      <c r="D3189">
        <v>719270</v>
      </c>
      <c r="E3189" t="s">
        <v>1605</v>
      </c>
      <c r="F3189">
        <v>48.824199999999998</v>
      </c>
      <c r="G3189">
        <v>-123.7189</v>
      </c>
      <c r="H3189">
        <v>-8</v>
      </c>
      <c r="I3189">
        <v>47</v>
      </c>
      <c r="J3189" t="str">
        <f>HYPERLINK("https://climate.onebuilding.org/WMO_Region_4_North_and_Central_America/CAN_Canada/BC_British_Columbia/CAN_BC_North.Cowichan.719270_TMYx.2004-2018.zip")</f>
        <v>https://climate.onebuilding.org/WMO_Region_4_North_and_Central_America/CAN_Canada/BC_British_Columbia/CAN_BC_North.Cowichan.719270_TMYx.2004-2018.zip</v>
      </c>
    </row>
    <row r="3190" spans="1:10" x14ac:dyDescent="0.25">
      <c r="A3190" t="s">
        <v>6</v>
      </c>
      <c r="B3190" t="s">
        <v>55</v>
      </c>
      <c r="C3190" t="s">
        <v>1604</v>
      </c>
      <c r="D3190">
        <v>719270</v>
      </c>
      <c r="E3190" t="s">
        <v>10</v>
      </c>
      <c r="F3190">
        <v>48.824199999999998</v>
      </c>
      <c r="G3190">
        <v>-123.7189</v>
      </c>
      <c r="H3190">
        <v>-8</v>
      </c>
      <c r="I3190">
        <v>47</v>
      </c>
      <c r="J3190" t="str">
        <f>HYPERLINK("https://climate.onebuilding.org/WMO_Region_4_North_and_Central_America/CAN_Canada/BC_British_Columbia/CAN_BC_North.Cowichan.719270_TMYx.2007-2021.zip")</f>
        <v>https://climate.onebuilding.org/WMO_Region_4_North_and_Central_America/CAN_Canada/BC_British_Columbia/CAN_BC_North.Cowichan.719270_TMYx.2007-2021.zip</v>
      </c>
    </row>
    <row r="3191" spans="1:10" x14ac:dyDescent="0.25">
      <c r="A3191" t="s">
        <v>6</v>
      </c>
      <c r="B3191" t="s">
        <v>55</v>
      </c>
      <c r="C3191" t="s">
        <v>1604</v>
      </c>
      <c r="D3191">
        <v>719270</v>
      </c>
      <c r="E3191" t="s">
        <v>10</v>
      </c>
      <c r="F3191">
        <v>48.824199999999998</v>
      </c>
      <c r="G3191">
        <v>-123.7189</v>
      </c>
      <c r="H3191">
        <v>-8</v>
      </c>
      <c r="I3191">
        <v>47</v>
      </c>
      <c r="J3191" t="str">
        <f>HYPERLINK("https://climate.onebuilding.org/WMO_Region_4_North_and_Central_America/CAN_Canada/BC_British_Columbia/CAN_BC_North.Cowichan.719270_TMYx.2009-2023.zip")</f>
        <v>https://climate.onebuilding.org/WMO_Region_4_North_and_Central_America/CAN_Canada/BC_British_Columbia/CAN_BC_North.Cowichan.719270_TMYx.2009-2023.zip</v>
      </c>
    </row>
    <row r="3192" spans="1:10" x14ac:dyDescent="0.25">
      <c r="A3192" t="s">
        <v>6</v>
      </c>
      <c r="B3192" t="s">
        <v>55</v>
      </c>
      <c r="C3192" t="s">
        <v>1604</v>
      </c>
      <c r="D3192">
        <v>719270</v>
      </c>
      <c r="E3192" t="s">
        <v>10</v>
      </c>
      <c r="F3192">
        <v>48.824199999999998</v>
      </c>
      <c r="G3192">
        <v>-123.7189</v>
      </c>
      <c r="H3192">
        <v>-8</v>
      </c>
      <c r="I3192">
        <v>47</v>
      </c>
      <c r="J3192" t="str">
        <f>HYPERLINK("https://climate.onebuilding.org/WMO_Region_4_North_and_Central_America/CAN_Canada/BC_British_Columbia/CAN_BC_North.Cowichan.719270_TMYx.zip")</f>
        <v>https://climate.onebuilding.org/WMO_Region_4_North_and_Central_America/CAN_Canada/BC_British_Columbia/CAN_BC_North.Cowichan.719270_TMYx.zip</v>
      </c>
    </row>
    <row r="3193" spans="1:10" x14ac:dyDescent="0.25">
      <c r="A3193" t="s">
        <v>6</v>
      </c>
      <c r="B3193" t="s">
        <v>17</v>
      </c>
      <c r="C3193" t="s">
        <v>1606</v>
      </c>
      <c r="D3193">
        <v>719280</v>
      </c>
      <c r="E3193" t="s">
        <v>1607</v>
      </c>
      <c r="F3193">
        <v>52.421399999999998</v>
      </c>
      <c r="G3193">
        <v>-114.9122</v>
      </c>
      <c r="H3193">
        <v>-7</v>
      </c>
      <c r="I3193">
        <v>988.2</v>
      </c>
      <c r="J3193" t="str">
        <f>HYPERLINK("https://climate.onebuilding.org/WMO_Region_4_North_and_Central_America/CAN_Canada/AB_Alberta/CAN_AB_Rocky.Mountain.House.AP.719280_TMYx.2004-2018.zip")</f>
        <v>https://climate.onebuilding.org/WMO_Region_4_North_and_Central_America/CAN_Canada/AB_Alberta/CAN_AB_Rocky.Mountain.House.AP.719280_TMYx.2004-2018.zip</v>
      </c>
    </row>
    <row r="3194" spans="1:10" x14ac:dyDescent="0.25">
      <c r="A3194" t="s">
        <v>6</v>
      </c>
      <c r="B3194" t="s">
        <v>17</v>
      </c>
      <c r="C3194" t="s">
        <v>1606</v>
      </c>
      <c r="D3194">
        <v>719280</v>
      </c>
      <c r="E3194" t="s">
        <v>10</v>
      </c>
      <c r="F3194">
        <v>52.421399999999998</v>
      </c>
      <c r="G3194">
        <v>-114.9122</v>
      </c>
      <c r="H3194">
        <v>-7</v>
      </c>
      <c r="I3194">
        <v>988.2</v>
      </c>
      <c r="J3194" t="str">
        <f>HYPERLINK("https://climate.onebuilding.org/WMO_Region_4_North_and_Central_America/CAN_Canada/AB_Alberta/CAN_AB_Rocky.Mountain.House.AP.719280_TMYx.2007-2021.zip")</f>
        <v>https://climate.onebuilding.org/WMO_Region_4_North_and_Central_America/CAN_Canada/AB_Alberta/CAN_AB_Rocky.Mountain.House.AP.719280_TMYx.2007-2021.zip</v>
      </c>
    </row>
    <row r="3195" spans="1:10" x14ac:dyDescent="0.25">
      <c r="A3195" t="s">
        <v>6</v>
      </c>
      <c r="B3195" t="s">
        <v>17</v>
      </c>
      <c r="C3195" t="s">
        <v>1606</v>
      </c>
      <c r="D3195">
        <v>719280</v>
      </c>
      <c r="E3195" t="s">
        <v>10</v>
      </c>
      <c r="F3195">
        <v>52.421399999999998</v>
      </c>
      <c r="G3195">
        <v>-114.9122</v>
      </c>
      <c r="H3195">
        <v>-7</v>
      </c>
      <c r="I3195">
        <v>988.2</v>
      </c>
      <c r="J3195" t="str">
        <f>HYPERLINK("https://climate.onebuilding.org/WMO_Region_4_North_and_Central_America/CAN_Canada/AB_Alberta/CAN_AB_Rocky.Mountain.House.AP.719280_TMYx.2009-2023.zip")</f>
        <v>https://climate.onebuilding.org/WMO_Region_4_North_and_Central_America/CAN_Canada/AB_Alberta/CAN_AB_Rocky.Mountain.House.AP.719280_TMYx.2009-2023.zip</v>
      </c>
    </row>
    <row r="3196" spans="1:10" x14ac:dyDescent="0.25">
      <c r="A3196" t="s">
        <v>6</v>
      </c>
      <c r="B3196" t="s">
        <v>17</v>
      </c>
      <c r="C3196" t="s">
        <v>1606</v>
      </c>
      <c r="D3196">
        <v>719280</v>
      </c>
      <c r="E3196" t="s">
        <v>10</v>
      </c>
      <c r="F3196">
        <v>52.421399999999998</v>
      </c>
      <c r="G3196">
        <v>-114.9122</v>
      </c>
      <c r="H3196">
        <v>-7</v>
      </c>
      <c r="I3196">
        <v>988.2</v>
      </c>
      <c r="J3196" t="str">
        <f>HYPERLINK("https://climate.onebuilding.org/WMO_Region_4_North_and_Central_America/CAN_Canada/AB_Alberta/CAN_AB_Rocky.Mountain.House.AP.719280_TMYx.zip")</f>
        <v>https://climate.onebuilding.org/WMO_Region_4_North_and_Central_America/CAN_Canada/AB_Alberta/CAN_AB_Rocky.Mountain.House.AP.719280_TMYx.zip</v>
      </c>
    </row>
    <row r="3197" spans="1:10" x14ac:dyDescent="0.25">
      <c r="A3197" t="s">
        <v>6</v>
      </c>
      <c r="B3197" t="s">
        <v>42</v>
      </c>
      <c r="C3197" t="s">
        <v>1608</v>
      </c>
      <c r="D3197">
        <v>719290</v>
      </c>
      <c r="E3197" t="s">
        <v>10</v>
      </c>
      <c r="F3197">
        <v>68.75</v>
      </c>
      <c r="G3197">
        <v>-109.06699999999999</v>
      </c>
      <c r="H3197">
        <v>-7</v>
      </c>
      <c r="I3197">
        <v>92</v>
      </c>
      <c r="J3197" t="str">
        <f>HYPERLINK("https://climate.onebuilding.org/WMO_Region_4_North_and_Central_America/CAN_Canada/NU_Nunavut/CAN_NU_Byron.Bay.AP.719290_TMYx.zip")</f>
        <v>https://climate.onebuilding.org/WMO_Region_4_North_and_Central_America/CAN_Canada/NU_Nunavut/CAN_NU_Byron.Bay.AP.719290_TMYx.zip</v>
      </c>
    </row>
    <row r="3198" spans="1:10" x14ac:dyDescent="0.25">
      <c r="A3198" t="s">
        <v>6</v>
      </c>
      <c r="B3198" t="s">
        <v>17</v>
      </c>
      <c r="C3198" t="s">
        <v>1609</v>
      </c>
      <c r="D3198">
        <v>719300</v>
      </c>
      <c r="E3198" t="s">
        <v>1610</v>
      </c>
      <c r="F3198">
        <v>54.143900000000002</v>
      </c>
      <c r="G3198">
        <v>-115.7867</v>
      </c>
      <c r="H3198">
        <v>-7</v>
      </c>
      <c r="I3198">
        <v>782.4</v>
      </c>
      <c r="J3198" t="str">
        <f>HYPERLINK("https://climate.onebuilding.org/WMO_Region_4_North_and_Central_America/CAN_Canada/AB_Alberta/CAN_AB_Whitecourt.AP.719300_TMYx.2004-2018.zip")</f>
        <v>https://climate.onebuilding.org/WMO_Region_4_North_and_Central_America/CAN_Canada/AB_Alberta/CAN_AB_Whitecourt.AP.719300_TMYx.2004-2018.zip</v>
      </c>
    </row>
    <row r="3199" spans="1:10" x14ac:dyDescent="0.25">
      <c r="A3199" t="s">
        <v>6</v>
      </c>
      <c r="B3199" t="s">
        <v>17</v>
      </c>
      <c r="C3199" t="s">
        <v>1609</v>
      </c>
      <c r="D3199">
        <v>719300</v>
      </c>
      <c r="E3199" t="s">
        <v>10</v>
      </c>
      <c r="F3199">
        <v>54.14</v>
      </c>
      <c r="G3199">
        <v>-115.78400000000001</v>
      </c>
      <c r="H3199">
        <v>-7</v>
      </c>
      <c r="I3199">
        <v>782.4</v>
      </c>
      <c r="J3199" t="str">
        <f>HYPERLINK("https://climate.onebuilding.org/WMO_Region_4_North_and_Central_America/CAN_Canada/AB_Alberta/CAN_AB_Whitecourt.AP.719300_TMYx.2007-2021.zip")</f>
        <v>https://climate.onebuilding.org/WMO_Region_4_North_and_Central_America/CAN_Canada/AB_Alberta/CAN_AB_Whitecourt.AP.719300_TMYx.2007-2021.zip</v>
      </c>
    </row>
    <row r="3200" spans="1:10" x14ac:dyDescent="0.25">
      <c r="A3200" t="s">
        <v>6</v>
      </c>
      <c r="B3200" t="s">
        <v>17</v>
      </c>
      <c r="C3200" t="s">
        <v>1609</v>
      </c>
      <c r="D3200">
        <v>719300</v>
      </c>
      <c r="E3200" t="s">
        <v>10</v>
      </c>
      <c r="F3200">
        <v>54.14</v>
      </c>
      <c r="G3200">
        <v>-115.78400000000001</v>
      </c>
      <c r="H3200">
        <v>-7</v>
      </c>
      <c r="I3200">
        <v>782.4</v>
      </c>
      <c r="J3200" t="str">
        <f>HYPERLINK("https://climate.onebuilding.org/WMO_Region_4_North_and_Central_America/CAN_Canada/AB_Alberta/CAN_AB_Whitecourt.AP.719300_TMYx.2009-2023.zip")</f>
        <v>https://climate.onebuilding.org/WMO_Region_4_North_and_Central_America/CAN_Canada/AB_Alberta/CAN_AB_Whitecourt.AP.719300_TMYx.2009-2023.zip</v>
      </c>
    </row>
    <row r="3201" spans="1:10" x14ac:dyDescent="0.25">
      <c r="A3201" t="s">
        <v>6</v>
      </c>
      <c r="B3201" t="s">
        <v>17</v>
      </c>
      <c r="C3201" t="s">
        <v>1609</v>
      </c>
      <c r="D3201">
        <v>719300</v>
      </c>
      <c r="E3201" t="s">
        <v>10</v>
      </c>
      <c r="F3201">
        <v>54.14</v>
      </c>
      <c r="G3201">
        <v>-115.78400000000001</v>
      </c>
      <c r="H3201">
        <v>-7</v>
      </c>
      <c r="I3201">
        <v>782.4</v>
      </c>
      <c r="J3201" t="str">
        <f>HYPERLINK("https://climate.onebuilding.org/WMO_Region_4_North_and_Central_America/CAN_Canada/AB_Alberta/CAN_AB_Whitecourt.AP.719300_TMYx.zip")</f>
        <v>https://climate.onebuilding.org/WMO_Region_4_North_and_Central_America/CAN_Canada/AB_Alberta/CAN_AB_Whitecourt.AP.719300_TMYx.zip</v>
      </c>
    </row>
    <row r="3202" spans="1:10" x14ac:dyDescent="0.25">
      <c r="A3202" t="s">
        <v>6</v>
      </c>
      <c r="B3202" t="s">
        <v>11</v>
      </c>
      <c r="C3202" t="s">
        <v>1611</v>
      </c>
      <c r="D3202">
        <v>719310</v>
      </c>
      <c r="E3202" t="s">
        <v>1612</v>
      </c>
      <c r="F3202">
        <v>49.112200000000001</v>
      </c>
      <c r="G3202">
        <v>-53.581099999999999</v>
      </c>
      <c r="H3202">
        <v>-3.5</v>
      </c>
      <c r="I3202">
        <v>19</v>
      </c>
      <c r="J3202" t="str">
        <f>HYPERLINK("https://climate.onebuilding.org/WMO_Region_4_North_and_Central_America/CAN_Canada/NL_Newfoundland_and_Labrador/CAN_NL_Pools.Island.719310_TMYx.2004-2018.zip")</f>
        <v>https://climate.onebuilding.org/WMO_Region_4_North_and_Central_America/CAN_Canada/NL_Newfoundland_and_Labrador/CAN_NL_Pools.Island.719310_TMYx.2004-2018.zip</v>
      </c>
    </row>
    <row r="3203" spans="1:10" x14ac:dyDescent="0.25">
      <c r="A3203" t="s">
        <v>6</v>
      </c>
      <c r="B3203" t="s">
        <v>11</v>
      </c>
      <c r="C3203" t="s">
        <v>1611</v>
      </c>
      <c r="D3203">
        <v>719310</v>
      </c>
      <c r="E3203" t="s">
        <v>10</v>
      </c>
      <c r="F3203">
        <v>49.112699999999997</v>
      </c>
      <c r="G3203">
        <v>-53.582500000000003</v>
      </c>
      <c r="H3203">
        <v>-3.5</v>
      </c>
      <c r="I3203">
        <v>19</v>
      </c>
      <c r="J3203" t="str">
        <f>HYPERLINK("https://climate.onebuilding.org/WMO_Region_4_North_and_Central_America/CAN_Canada/NL_Newfoundland_and_Labrador/CAN_NL_Pools.Island.719310_TMYx.2007-2021.zip")</f>
        <v>https://climate.onebuilding.org/WMO_Region_4_North_and_Central_America/CAN_Canada/NL_Newfoundland_and_Labrador/CAN_NL_Pools.Island.719310_TMYx.2007-2021.zip</v>
      </c>
    </row>
    <row r="3204" spans="1:10" x14ac:dyDescent="0.25">
      <c r="A3204" t="s">
        <v>6</v>
      </c>
      <c r="B3204" t="s">
        <v>11</v>
      </c>
      <c r="C3204" t="s">
        <v>1611</v>
      </c>
      <c r="D3204">
        <v>719310</v>
      </c>
      <c r="E3204" t="s">
        <v>10</v>
      </c>
      <c r="F3204">
        <v>49.112699999999997</v>
      </c>
      <c r="G3204">
        <v>-53.582500000000003</v>
      </c>
      <c r="H3204">
        <v>-3.5</v>
      </c>
      <c r="I3204">
        <v>19</v>
      </c>
      <c r="J3204" t="str">
        <f>HYPERLINK("https://climate.onebuilding.org/WMO_Region_4_North_and_Central_America/CAN_Canada/NL_Newfoundland_and_Labrador/CAN_NL_Pools.Island.719310_TMYx.2009-2023.zip")</f>
        <v>https://climate.onebuilding.org/WMO_Region_4_North_and_Central_America/CAN_Canada/NL_Newfoundland_and_Labrador/CAN_NL_Pools.Island.719310_TMYx.2009-2023.zip</v>
      </c>
    </row>
    <row r="3205" spans="1:10" x14ac:dyDescent="0.25">
      <c r="A3205" t="s">
        <v>6</v>
      </c>
      <c r="B3205" t="s">
        <v>11</v>
      </c>
      <c r="C3205" t="s">
        <v>1611</v>
      </c>
      <c r="D3205">
        <v>719310</v>
      </c>
      <c r="E3205" t="s">
        <v>10</v>
      </c>
      <c r="F3205">
        <v>49.112699999999997</v>
      </c>
      <c r="G3205">
        <v>-53.582500000000003</v>
      </c>
      <c r="H3205">
        <v>-3.5</v>
      </c>
      <c r="I3205">
        <v>19</v>
      </c>
      <c r="J3205" t="str">
        <f>HYPERLINK("https://climate.onebuilding.org/WMO_Region_4_North_and_Central_America/CAN_Canada/NL_Newfoundland_and_Labrador/CAN_NL_Pools.Island.719310_TMYx.zip")</f>
        <v>https://climate.onebuilding.org/WMO_Region_4_North_and_Central_America/CAN_Canada/NL_Newfoundland_and_Labrador/CAN_NL_Pools.Island.719310_TMYx.zip</v>
      </c>
    </row>
    <row r="3206" spans="1:10" x14ac:dyDescent="0.25">
      <c r="A3206" t="s">
        <v>6</v>
      </c>
      <c r="B3206" t="s">
        <v>55</v>
      </c>
      <c r="C3206" t="s">
        <v>1613</v>
      </c>
      <c r="D3206">
        <v>719330</v>
      </c>
      <c r="E3206" t="s">
        <v>10</v>
      </c>
      <c r="F3206">
        <v>54.455280000000002</v>
      </c>
      <c r="G3206">
        <v>-124.2856</v>
      </c>
      <c r="H3206">
        <v>-8</v>
      </c>
      <c r="I3206">
        <v>685.5</v>
      </c>
      <c r="J3206" t="str">
        <f>HYPERLINK("https://climate.onebuilding.org/WMO_Region_4_North_and_Central_America/CAN_Canada/BC_British_Columbia/CAN_BC_Fort.St.James.719330_TMYx.2007-2021.zip")</f>
        <v>https://climate.onebuilding.org/WMO_Region_4_North_and_Central_America/CAN_Canada/BC_British_Columbia/CAN_BC_Fort.St.James.719330_TMYx.2007-2021.zip</v>
      </c>
    </row>
    <row r="3207" spans="1:10" x14ac:dyDescent="0.25">
      <c r="A3207" t="s">
        <v>6</v>
      </c>
      <c r="B3207" t="s">
        <v>55</v>
      </c>
      <c r="C3207" t="s">
        <v>1613</v>
      </c>
      <c r="D3207">
        <v>719330</v>
      </c>
      <c r="E3207" t="s">
        <v>10</v>
      </c>
      <c r="F3207">
        <v>54.455280000000002</v>
      </c>
      <c r="G3207">
        <v>-124.2856</v>
      </c>
      <c r="H3207">
        <v>-8</v>
      </c>
      <c r="I3207">
        <v>685.5</v>
      </c>
      <c r="J3207" t="str">
        <f>HYPERLINK("https://climate.onebuilding.org/WMO_Region_4_North_and_Central_America/CAN_Canada/BC_British_Columbia/CAN_BC_Fort.St.James.719330_TMYx.2009-2023.zip")</f>
        <v>https://climate.onebuilding.org/WMO_Region_4_North_and_Central_America/CAN_Canada/BC_British_Columbia/CAN_BC_Fort.St.James.719330_TMYx.2009-2023.zip</v>
      </c>
    </row>
    <row r="3208" spans="1:10" x14ac:dyDescent="0.25">
      <c r="A3208" t="s">
        <v>6</v>
      </c>
      <c r="B3208" t="s">
        <v>55</v>
      </c>
      <c r="C3208" t="s">
        <v>1613</v>
      </c>
      <c r="D3208">
        <v>719330</v>
      </c>
      <c r="E3208" t="s">
        <v>10</v>
      </c>
      <c r="F3208">
        <v>54.455280000000002</v>
      </c>
      <c r="G3208">
        <v>-124.2856</v>
      </c>
      <c r="H3208">
        <v>-8</v>
      </c>
      <c r="I3208">
        <v>685.5</v>
      </c>
      <c r="J3208" t="str">
        <f>HYPERLINK("https://climate.onebuilding.org/WMO_Region_4_North_and_Central_America/CAN_Canada/BC_British_Columbia/CAN_BC_Fort.St.James.719330_TMYx.zip")</f>
        <v>https://climate.onebuilding.org/WMO_Region_4_North_and_Central_America/CAN_Canada/BC_British_Columbia/CAN_BC_Fort.St.James.719330_TMYx.zip</v>
      </c>
    </row>
    <row r="3209" spans="1:10" x14ac:dyDescent="0.25">
      <c r="A3209" t="s">
        <v>6</v>
      </c>
      <c r="B3209" t="s">
        <v>48</v>
      </c>
      <c r="C3209" t="s">
        <v>1614</v>
      </c>
      <c r="D3209">
        <v>719340</v>
      </c>
      <c r="E3209" t="s">
        <v>1615</v>
      </c>
      <c r="F3209">
        <v>60.020299999999999</v>
      </c>
      <c r="G3209">
        <v>-111.9619</v>
      </c>
      <c r="H3209">
        <v>-7</v>
      </c>
      <c r="I3209">
        <v>205.1</v>
      </c>
      <c r="J3209" t="str">
        <f>HYPERLINK("https://climate.onebuilding.org/WMO_Region_4_North_and_Central_America/CAN_Canada/NT_Northwest_Territories/CAN_NT_Fort.Smith.AP.719340_TMYx.2004-2018.zip")</f>
        <v>https://climate.onebuilding.org/WMO_Region_4_North_and_Central_America/CAN_Canada/NT_Northwest_Territories/CAN_NT_Fort.Smith.AP.719340_TMYx.2004-2018.zip</v>
      </c>
    </row>
    <row r="3210" spans="1:10" x14ac:dyDescent="0.25">
      <c r="A3210" t="s">
        <v>6</v>
      </c>
      <c r="B3210" t="s">
        <v>48</v>
      </c>
      <c r="C3210" t="s">
        <v>1614</v>
      </c>
      <c r="D3210">
        <v>719340</v>
      </c>
      <c r="E3210" t="s">
        <v>10</v>
      </c>
      <c r="F3210">
        <v>60.026000000000003</v>
      </c>
      <c r="G3210">
        <v>-111.929</v>
      </c>
      <c r="H3210">
        <v>-7</v>
      </c>
      <c r="I3210">
        <v>205.1</v>
      </c>
      <c r="J3210" t="str">
        <f>HYPERLINK("https://climate.onebuilding.org/WMO_Region_4_North_and_Central_America/CAN_Canada/NT_Northwest_Territories/CAN_NT_Fort.Smith.AP.719340_TMYx.2007-2021.zip")</f>
        <v>https://climate.onebuilding.org/WMO_Region_4_North_and_Central_America/CAN_Canada/NT_Northwest_Territories/CAN_NT_Fort.Smith.AP.719340_TMYx.2007-2021.zip</v>
      </c>
    </row>
    <row r="3211" spans="1:10" x14ac:dyDescent="0.25">
      <c r="A3211" t="s">
        <v>6</v>
      </c>
      <c r="B3211" t="s">
        <v>48</v>
      </c>
      <c r="C3211" t="s">
        <v>1614</v>
      </c>
      <c r="D3211">
        <v>719340</v>
      </c>
      <c r="E3211" t="s">
        <v>10</v>
      </c>
      <c r="F3211">
        <v>60.026000000000003</v>
      </c>
      <c r="G3211">
        <v>-111.929</v>
      </c>
      <c r="H3211">
        <v>-7</v>
      </c>
      <c r="I3211">
        <v>205.1</v>
      </c>
      <c r="J3211" t="str">
        <f>HYPERLINK("https://climate.onebuilding.org/WMO_Region_4_North_and_Central_America/CAN_Canada/NT_Northwest_Territories/CAN_NT_Fort.Smith.AP.719340_TMYx.2009-2023.zip")</f>
        <v>https://climate.onebuilding.org/WMO_Region_4_North_and_Central_America/CAN_Canada/NT_Northwest_Territories/CAN_NT_Fort.Smith.AP.719340_TMYx.2009-2023.zip</v>
      </c>
    </row>
    <row r="3212" spans="1:10" x14ac:dyDescent="0.25">
      <c r="A3212" t="s">
        <v>6</v>
      </c>
      <c r="B3212" t="s">
        <v>48</v>
      </c>
      <c r="C3212" t="s">
        <v>1614</v>
      </c>
      <c r="D3212">
        <v>719340</v>
      </c>
      <c r="E3212" t="s">
        <v>10</v>
      </c>
      <c r="F3212">
        <v>60.026000000000003</v>
      </c>
      <c r="G3212">
        <v>-111.929</v>
      </c>
      <c r="H3212">
        <v>-7</v>
      </c>
      <c r="I3212">
        <v>205.1</v>
      </c>
      <c r="J3212" t="str">
        <f>HYPERLINK("https://climate.onebuilding.org/WMO_Region_4_North_and_Central_America/CAN_Canada/NT_Northwest_Territories/CAN_NT_Fort.Smith.AP.719340_TMYx.zip")</f>
        <v>https://climate.onebuilding.org/WMO_Region_4_North_and_Central_America/CAN_Canada/NT_Northwest_Territories/CAN_NT_Fort.Smith.AP.719340_TMYx.zip</v>
      </c>
    </row>
    <row r="3213" spans="1:10" x14ac:dyDescent="0.25">
      <c r="A3213" t="s">
        <v>6</v>
      </c>
      <c r="B3213" t="s">
        <v>48</v>
      </c>
      <c r="C3213" t="s">
        <v>1616</v>
      </c>
      <c r="D3213">
        <v>719350</v>
      </c>
      <c r="E3213" t="s">
        <v>1617</v>
      </c>
      <c r="F3213">
        <v>60.839700000000001</v>
      </c>
      <c r="G3213">
        <v>-115.78279999999999</v>
      </c>
      <c r="H3213">
        <v>-7</v>
      </c>
      <c r="I3213">
        <v>164.9</v>
      </c>
      <c r="J3213" t="str">
        <f>HYPERLINK("https://climate.onebuilding.org/WMO_Region_4_North_and_Central_America/CAN_Canada/NT_Northwest_Territories/CAN_NT_Hay.River-Carter.AP.719350_TMYx.2004-2018.zip")</f>
        <v>https://climate.onebuilding.org/WMO_Region_4_North_and_Central_America/CAN_Canada/NT_Northwest_Territories/CAN_NT_Hay.River-Carter.AP.719350_TMYx.2004-2018.zip</v>
      </c>
    </row>
    <row r="3214" spans="1:10" x14ac:dyDescent="0.25">
      <c r="A3214" t="s">
        <v>6</v>
      </c>
      <c r="B3214" t="s">
        <v>48</v>
      </c>
      <c r="C3214" t="s">
        <v>1616</v>
      </c>
      <c r="D3214">
        <v>719350</v>
      </c>
      <c r="E3214" t="s">
        <v>10</v>
      </c>
      <c r="F3214">
        <v>60.839399999999998</v>
      </c>
      <c r="G3214">
        <v>-115.7816</v>
      </c>
      <c r="H3214">
        <v>-7</v>
      </c>
      <c r="I3214">
        <v>164.9</v>
      </c>
      <c r="J3214" t="str">
        <f>HYPERLINK("https://climate.onebuilding.org/WMO_Region_4_North_and_Central_America/CAN_Canada/NT_Northwest_Territories/CAN_NT_Hay.River-Carter.AP.719350_TMYx.2007-2021.zip")</f>
        <v>https://climate.onebuilding.org/WMO_Region_4_North_and_Central_America/CAN_Canada/NT_Northwest_Territories/CAN_NT_Hay.River-Carter.AP.719350_TMYx.2007-2021.zip</v>
      </c>
    </row>
    <row r="3215" spans="1:10" x14ac:dyDescent="0.25">
      <c r="A3215" t="s">
        <v>6</v>
      </c>
      <c r="B3215" t="s">
        <v>48</v>
      </c>
      <c r="C3215" t="s">
        <v>1616</v>
      </c>
      <c r="D3215">
        <v>719350</v>
      </c>
      <c r="E3215" t="s">
        <v>10</v>
      </c>
      <c r="F3215">
        <v>60.839399999999998</v>
      </c>
      <c r="G3215">
        <v>-115.7816</v>
      </c>
      <c r="H3215">
        <v>-7</v>
      </c>
      <c r="I3215">
        <v>164.9</v>
      </c>
      <c r="J3215" t="str">
        <f>HYPERLINK("https://climate.onebuilding.org/WMO_Region_4_North_and_Central_America/CAN_Canada/NT_Northwest_Territories/CAN_NT_Hay.River-Carter.AP.719350_TMYx.2009-2023.zip")</f>
        <v>https://climate.onebuilding.org/WMO_Region_4_North_and_Central_America/CAN_Canada/NT_Northwest_Territories/CAN_NT_Hay.River-Carter.AP.719350_TMYx.2009-2023.zip</v>
      </c>
    </row>
    <row r="3216" spans="1:10" x14ac:dyDescent="0.25">
      <c r="A3216" t="s">
        <v>6</v>
      </c>
      <c r="B3216" t="s">
        <v>48</v>
      </c>
      <c r="C3216" t="s">
        <v>1616</v>
      </c>
      <c r="D3216">
        <v>719350</v>
      </c>
      <c r="E3216" t="s">
        <v>10</v>
      </c>
      <c r="F3216">
        <v>60.839399999999998</v>
      </c>
      <c r="G3216">
        <v>-115.7816</v>
      </c>
      <c r="H3216">
        <v>-7</v>
      </c>
      <c r="I3216">
        <v>164.9</v>
      </c>
      <c r="J3216" t="str">
        <f>HYPERLINK("https://climate.onebuilding.org/WMO_Region_4_North_and_Central_America/CAN_Canada/NT_Northwest_Territories/CAN_NT_Hay.River-Carter.AP.719350_TMYx.zip")</f>
        <v>https://climate.onebuilding.org/WMO_Region_4_North_and_Central_America/CAN_Canada/NT_Northwest_Territories/CAN_NT_Hay.River-Carter.AP.719350_TMYx.zip</v>
      </c>
    </row>
    <row r="3217" spans="1:10" x14ac:dyDescent="0.25">
      <c r="A3217" t="s">
        <v>6</v>
      </c>
      <c r="B3217" t="s">
        <v>48</v>
      </c>
      <c r="C3217" t="s">
        <v>1618</v>
      </c>
      <c r="D3217">
        <v>719360</v>
      </c>
      <c r="E3217" t="s">
        <v>1619</v>
      </c>
      <c r="F3217">
        <v>62.462800000000001</v>
      </c>
      <c r="G3217">
        <v>-114.44029999999999</v>
      </c>
      <c r="H3217">
        <v>-7</v>
      </c>
      <c r="I3217">
        <v>205.7</v>
      </c>
      <c r="J3217" t="str">
        <f>HYPERLINK("https://climate.onebuilding.org/WMO_Region_4_North_and_Central_America/CAN_Canada/NT_Northwest_Territories/CAN_NT_Yellowknife.AP.719360_TMYx.2004-2018.zip")</f>
        <v>https://climate.onebuilding.org/WMO_Region_4_North_and_Central_America/CAN_Canada/NT_Northwest_Territories/CAN_NT_Yellowknife.AP.719360_TMYx.2004-2018.zip</v>
      </c>
    </row>
    <row r="3218" spans="1:10" x14ac:dyDescent="0.25">
      <c r="A3218" t="s">
        <v>6</v>
      </c>
      <c r="B3218" t="s">
        <v>48</v>
      </c>
      <c r="C3218" t="s">
        <v>1618</v>
      </c>
      <c r="D3218">
        <v>719360</v>
      </c>
      <c r="E3218" t="s">
        <v>10</v>
      </c>
      <c r="F3218">
        <v>62.462800000000001</v>
      </c>
      <c r="G3218">
        <v>-114.44029999999999</v>
      </c>
      <c r="H3218">
        <v>-7</v>
      </c>
      <c r="I3218">
        <v>205.7</v>
      </c>
      <c r="J3218" t="str">
        <f>HYPERLINK("https://climate.onebuilding.org/WMO_Region_4_North_and_Central_America/CAN_Canada/NT_Northwest_Territories/CAN_NT_Yellowknife.AP.719360_TMYx.2007-2021.zip")</f>
        <v>https://climate.onebuilding.org/WMO_Region_4_North_and_Central_America/CAN_Canada/NT_Northwest_Territories/CAN_NT_Yellowknife.AP.719360_TMYx.2007-2021.zip</v>
      </c>
    </row>
    <row r="3219" spans="1:10" x14ac:dyDescent="0.25">
      <c r="A3219" t="s">
        <v>6</v>
      </c>
      <c r="B3219" t="s">
        <v>48</v>
      </c>
      <c r="C3219" t="s">
        <v>1618</v>
      </c>
      <c r="D3219">
        <v>719360</v>
      </c>
      <c r="E3219" t="s">
        <v>10</v>
      </c>
      <c r="F3219">
        <v>62.462800000000001</v>
      </c>
      <c r="G3219">
        <v>-114.44029999999999</v>
      </c>
      <c r="H3219">
        <v>-7</v>
      </c>
      <c r="I3219">
        <v>205.7</v>
      </c>
      <c r="J3219" t="str">
        <f>HYPERLINK("https://climate.onebuilding.org/WMO_Region_4_North_and_Central_America/CAN_Canada/NT_Northwest_Territories/CAN_NT_Yellowknife.AP.719360_TMYx.2009-2023.zip")</f>
        <v>https://climate.onebuilding.org/WMO_Region_4_North_and_Central_America/CAN_Canada/NT_Northwest_Territories/CAN_NT_Yellowknife.AP.719360_TMYx.2009-2023.zip</v>
      </c>
    </row>
    <row r="3220" spans="1:10" x14ac:dyDescent="0.25">
      <c r="A3220" t="s">
        <v>6</v>
      </c>
      <c r="B3220" t="s">
        <v>48</v>
      </c>
      <c r="C3220" t="s">
        <v>1618</v>
      </c>
      <c r="D3220">
        <v>719360</v>
      </c>
      <c r="E3220" t="s">
        <v>10</v>
      </c>
      <c r="F3220">
        <v>62.462800000000001</v>
      </c>
      <c r="G3220">
        <v>-114.44029999999999</v>
      </c>
      <c r="H3220">
        <v>-7</v>
      </c>
      <c r="I3220">
        <v>205.7</v>
      </c>
      <c r="J3220" t="str">
        <f>HYPERLINK("https://climate.onebuilding.org/WMO_Region_4_North_and_Central_America/CAN_Canada/NT_Northwest_Territories/CAN_NT_Yellowknife.AP.719360_TMYx.zip")</f>
        <v>https://climate.onebuilding.org/WMO_Region_4_North_and_Central_America/CAN_Canada/NT_Northwest_Territories/CAN_NT_Yellowknife.AP.719360_TMYx.zip</v>
      </c>
    </row>
    <row r="3221" spans="1:10" x14ac:dyDescent="0.25">
      <c r="A3221" t="s">
        <v>6</v>
      </c>
      <c r="B3221" t="s">
        <v>42</v>
      </c>
      <c r="C3221" t="s">
        <v>1620</v>
      </c>
      <c r="D3221">
        <v>719370</v>
      </c>
      <c r="E3221" t="s">
        <v>10</v>
      </c>
      <c r="F3221">
        <v>68.474999999999994</v>
      </c>
      <c r="G3221">
        <v>-113.221</v>
      </c>
      <c r="H3221">
        <v>-7</v>
      </c>
      <c r="I3221">
        <v>15.9</v>
      </c>
      <c r="J3221" t="str">
        <f>HYPERLINK("https://climate.onebuilding.org/WMO_Region_4_North_and_Central_America/CAN_Canada/NU_Nunavut/CAN_NU_Lady.Franklin.Point.AP.719370_TMYx.zip")</f>
        <v>https://climate.onebuilding.org/WMO_Region_4_North_and_Central_America/CAN_Canada/NU_Nunavut/CAN_NU_Lady.Franklin.Point.AP.719370_TMYx.zip</v>
      </c>
    </row>
    <row r="3222" spans="1:10" x14ac:dyDescent="0.25">
      <c r="A3222" t="s">
        <v>6</v>
      </c>
      <c r="B3222" t="s">
        <v>42</v>
      </c>
      <c r="C3222" t="s">
        <v>1621</v>
      </c>
      <c r="D3222">
        <v>719380</v>
      </c>
      <c r="E3222" t="s">
        <v>1622</v>
      </c>
      <c r="F3222">
        <v>67.816699999999997</v>
      </c>
      <c r="G3222">
        <v>-115.1439</v>
      </c>
      <c r="H3222">
        <v>-7</v>
      </c>
      <c r="I3222">
        <v>22.6</v>
      </c>
      <c r="J3222" t="str">
        <f>HYPERLINK("https://climate.onebuilding.org/WMO_Region_4_North_and_Central_America/CAN_Canada/NU_Nunavut/CAN_NU_Kugluktuk.AP.719380_TMYx.2004-2018.zip")</f>
        <v>https://climate.onebuilding.org/WMO_Region_4_North_and_Central_America/CAN_Canada/NU_Nunavut/CAN_NU_Kugluktuk.AP.719380_TMYx.2004-2018.zip</v>
      </c>
    </row>
    <row r="3223" spans="1:10" x14ac:dyDescent="0.25">
      <c r="A3223" t="s">
        <v>6</v>
      </c>
      <c r="B3223" t="s">
        <v>42</v>
      </c>
      <c r="C3223" t="s">
        <v>1621</v>
      </c>
      <c r="D3223">
        <v>719380</v>
      </c>
      <c r="E3223" t="s">
        <v>10</v>
      </c>
      <c r="F3223">
        <v>67.816699999999997</v>
      </c>
      <c r="G3223">
        <v>-115.1439</v>
      </c>
      <c r="H3223">
        <v>-7</v>
      </c>
      <c r="I3223">
        <v>22.6</v>
      </c>
      <c r="J3223" t="str">
        <f>HYPERLINK("https://climate.onebuilding.org/WMO_Region_4_North_and_Central_America/CAN_Canada/NU_Nunavut/CAN_NU_Kugluktuk.AP.719380_TMYx.2007-2021.zip")</f>
        <v>https://climate.onebuilding.org/WMO_Region_4_North_and_Central_America/CAN_Canada/NU_Nunavut/CAN_NU_Kugluktuk.AP.719380_TMYx.2007-2021.zip</v>
      </c>
    </row>
    <row r="3224" spans="1:10" x14ac:dyDescent="0.25">
      <c r="A3224" t="s">
        <v>6</v>
      </c>
      <c r="B3224" t="s">
        <v>42</v>
      </c>
      <c r="C3224" t="s">
        <v>1621</v>
      </c>
      <c r="D3224">
        <v>719380</v>
      </c>
      <c r="E3224" t="s">
        <v>10</v>
      </c>
      <c r="F3224">
        <v>67.816699999999997</v>
      </c>
      <c r="G3224">
        <v>-115.1439</v>
      </c>
      <c r="H3224">
        <v>-7</v>
      </c>
      <c r="I3224">
        <v>22.6</v>
      </c>
      <c r="J3224" t="str">
        <f>HYPERLINK("https://climate.onebuilding.org/WMO_Region_4_North_and_Central_America/CAN_Canada/NU_Nunavut/CAN_NU_Kugluktuk.AP.719380_TMYx.2009-2023.zip")</f>
        <v>https://climate.onebuilding.org/WMO_Region_4_North_and_Central_America/CAN_Canada/NU_Nunavut/CAN_NU_Kugluktuk.AP.719380_TMYx.2009-2023.zip</v>
      </c>
    </row>
    <row r="3225" spans="1:10" x14ac:dyDescent="0.25">
      <c r="A3225" t="s">
        <v>6</v>
      </c>
      <c r="B3225" t="s">
        <v>42</v>
      </c>
      <c r="C3225" t="s">
        <v>1621</v>
      </c>
      <c r="D3225">
        <v>719380</v>
      </c>
      <c r="E3225" t="s">
        <v>10</v>
      </c>
      <c r="F3225">
        <v>67.816699999999997</v>
      </c>
      <c r="G3225">
        <v>-115.1439</v>
      </c>
      <c r="H3225">
        <v>-7</v>
      </c>
      <c r="I3225">
        <v>22.6</v>
      </c>
      <c r="J3225" t="str">
        <f>HYPERLINK("https://climate.onebuilding.org/WMO_Region_4_North_and_Central_America/CAN_Canada/NU_Nunavut/CAN_NU_Kugluktuk.AP.719380_TMYx.zip")</f>
        <v>https://climate.onebuilding.org/WMO_Region_4_North_and_Central_America/CAN_Canada/NU_Nunavut/CAN_NU_Kugluktuk.AP.719380_TMYx.zip</v>
      </c>
    </row>
    <row r="3226" spans="1:10" x14ac:dyDescent="0.25">
      <c r="A3226" t="s">
        <v>6</v>
      </c>
      <c r="B3226" t="s">
        <v>42</v>
      </c>
      <c r="C3226" t="s">
        <v>1623</v>
      </c>
      <c r="D3226">
        <v>719390</v>
      </c>
      <c r="E3226" t="s">
        <v>10</v>
      </c>
      <c r="F3226">
        <v>68.933000000000007</v>
      </c>
      <c r="G3226">
        <v>-116.917</v>
      </c>
      <c r="H3226">
        <v>-7</v>
      </c>
      <c r="I3226">
        <v>16</v>
      </c>
      <c r="J3226" t="str">
        <f>HYPERLINK("https://climate.onebuilding.org/WMO_Region_4_North_and_Central_America/CAN_Canada/NU_Nunavut/CAN_NU_Cape.Young.AP.719390_TMYx.zip")</f>
        <v>https://climate.onebuilding.org/WMO_Region_4_North_and_Central_America/CAN_Canada/NU_Nunavut/CAN_NU_Cape.Young.AP.719390_TMYx.zip</v>
      </c>
    </row>
    <row r="3227" spans="1:10" x14ac:dyDescent="0.25">
      <c r="A3227" t="s">
        <v>6</v>
      </c>
      <c r="B3227" t="s">
        <v>55</v>
      </c>
      <c r="C3227" t="s">
        <v>1624</v>
      </c>
      <c r="D3227">
        <v>719391</v>
      </c>
      <c r="E3227" t="s">
        <v>10</v>
      </c>
      <c r="F3227">
        <v>57.379800000000003</v>
      </c>
      <c r="G3227">
        <v>-121.411</v>
      </c>
      <c r="H3227">
        <v>-8</v>
      </c>
      <c r="I3227">
        <v>840</v>
      </c>
      <c r="J3227" t="str">
        <f>HYPERLINK("https://climate.onebuilding.org/WMO_Region_4_North_and_Central_America/CAN_Canada/BC_British_Columbia/CAN_BC_Beatton.River.AP.719391_TMYx.zip")</f>
        <v>https://climate.onebuilding.org/WMO_Region_4_North_and_Central_America/CAN_Canada/BC_British_Columbia/CAN_BC_Beatton.River.AP.719391_TMYx.zip</v>
      </c>
    </row>
    <row r="3228" spans="1:10" x14ac:dyDescent="0.25">
      <c r="A3228" t="s">
        <v>6</v>
      </c>
      <c r="B3228" t="s">
        <v>17</v>
      </c>
      <c r="C3228" t="s">
        <v>1625</v>
      </c>
      <c r="D3228">
        <v>719400</v>
      </c>
      <c r="E3228" t="s">
        <v>1626</v>
      </c>
      <c r="F3228">
        <v>55.179699999999997</v>
      </c>
      <c r="G3228">
        <v>-118.88500000000001</v>
      </c>
      <c r="H3228">
        <v>-7</v>
      </c>
      <c r="I3228">
        <v>669</v>
      </c>
      <c r="J3228" t="str">
        <f>HYPERLINK("https://climate.onebuilding.org/WMO_Region_4_North_and_Central_America/CAN_Canada/AB_Alberta/CAN_AB_Grande.Prairie.AP.719400_TMYx.2004-2018.zip")</f>
        <v>https://climate.onebuilding.org/WMO_Region_4_North_and_Central_America/CAN_Canada/AB_Alberta/CAN_AB_Grande.Prairie.AP.719400_TMYx.2004-2018.zip</v>
      </c>
    </row>
    <row r="3229" spans="1:10" x14ac:dyDescent="0.25">
      <c r="A3229" t="s">
        <v>6</v>
      </c>
      <c r="B3229" t="s">
        <v>17</v>
      </c>
      <c r="C3229" t="s">
        <v>1625</v>
      </c>
      <c r="D3229">
        <v>719400</v>
      </c>
      <c r="E3229" t="s">
        <v>10</v>
      </c>
      <c r="F3229">
        <v>55.179699999999997</v>
      </c>
      <c r="G3229">
        <v>-118.88500000000001</v>
      </c>
      <c r="H3229">
        <v>-7</v>
      </c>
      <c r="I3229">
        <v>669</v>
      </c>
      <c r="J3229" t="str">
        <f>HYPERLINK("https://climate.onebuilding.org/WMO_Region_4_North_and_Central_America/CAN_Canada/AB_Alberta/CAN_AB_Grande.Prairie.AP.719400_TMYx.2007-2021.zip")</f>
        <v>https://climate.onebuilding.org/WMO_Region_4_North_and_Central_America/CAN_Canada/AB_Alberta/CAN_AB_Grande.Prairie.AP.719400_TMYx.2007-2021.zip</v>
      </c>
    </row>
    <row r="3230" spans="1:10" x14ac:dyDescent="0.25">
      <c r="A3230" t="s">
        <v>6</v>
      </c>
      <c r="B3230" t="s">
        <v>17</v>
      </c>
      <c r="C3230" t="s">
        <v>1625</v>
      </c>
      <c r="D3230">
        <v>719400</v>
      </c>
      <c r="E3230" t="s">
        <v>10</v>
      </c>
      <c r="F3230">
        <v>55.179699999999997</v>
      </c>
      <c r="G3230">
        <v>-118.88500000000001</v>
      </c>
      <c r="H3230">
        <v>-7</v>
      </c>
      <c r="I3230">
        <v>669</v>
      </c>
      <c r="J3230" t="str">
        <f>HYPERLINK("https://climate.onebuilding.org/WMO_Region_4_North_and_Central_America/CAN_Canada/AB_Alberta/CAN_AB_Grande.Prairie.AP.719400_TMYx.2009-2023.zip")</f>
        <v>https://climate.onebuilding.org/WMO_Region_4_North_and_Central_America/CAN_Canada/AB_Alberta/CAN_AB_Grande.Prairie.AP.719400_TMYx.2009-2023.zip</v>
      </c>
    </row>
    <row r="3231" spans="1:10" x14ac:dyDescent="0.25">
      <c r="A3231" t="s">
        <v>6</v>
      </c>
      <c r="B3231" t="s">
        <v>17</v>
      </c>
      <c r="C3231" t="s">
        <v>1625</v>
      </c>
      <c r="D3231">
        <v>719400</v>
      </c>
      <c r="E3231" t="s">
        <v>10</v>
      </c>
      <c r="F3231">
        <v>55.179699999999997</v>
      </c>
      <c r="G3231">
        <v>-118.88500000000001</v>
      </c>
      <c r="H3231">
        <v>-7</v>
      </c>
      <c r="I3231">
        <v>669</v>
      </c>
      <c r="J3231" t="str">
        <f>HYPERLINK("https://climate.onebuilding.org/WMO_Region_4_North_and_Central_America/CAN_Canada/AB_Alberta/CAN_AB_Grande.Prairie.AP.719400_TMYx.zip")</f>
        <v>https://climate.onebuilding.org/WMO_Region_4_North_and_Central_America/CAN_Canada/AB_Alberta/CAN_AB_Grande.Prairie.AP.719400_TMYx.zip</v>
      </c>
    </row>
    <row r="3232" spans="1:10" x14ac:dyDescent="0.25">
      <c r="A3232" t="s">
        <v>6</v>
      </c>
      <c r="B3232" t="s">
        <v>55</v>
      </c>
      <c r="C3232" t="s">
        <v>1627</v>
      </c>
      <c r="D3232">
        <v>719430</v>
      </c>
      <c r="E3232" t="s">
        <v>1628</v>
      </c>
      <c r="F3232">
        <v>56.238100000000003</v>
      </c>
      <c r="G3232">
        <v>-120.7403</v>
      </c>
      <c r="H3232">
        <v>-7</v>
      </c>
      <c r="I3232">
        <v>694.9</v>
      </c>
      <c r="J3232" t="str">
        <f>HYPERLINK("https://climate.onebuilding.org/WMO_Region_4_North_and_Central_America/CAN_Canada/BC_British_Columbia/CAN_BC_Fort.St.John-North.Peace.Rgnl.AP.719430_TMYx.2004-2018.zip")</f>
        <v>https://climate.onebuilding.org/WMO_Region_4_North_and_Central_America/CAN_Canada/BC_British_Columbia/CAN_BC_Fort.St.John-North.Peace.Rgnl.AP.719430_TMYx.2004-2018.zip</v>
      </c>
    </row>
    <row r="3233" spans="1:10" x14ac:dyDescent="0.25">
      <c r="A3233" t="s">
        <v>6</v>
      </c>
      <c r="B3233" t="s">
        <v>55</v>
      </c>
      <c r="C3233" t="s">
        <v>1627</v>
      </c>
      <c r="D3233">
        <v>719430</v>
      </c>
      <c r="E3233" t="s">
        <v>10</v>
      </c>
      <c r="F3233">
        <v>56.246699999999997</v>
      </c>
      <c r="G3233">
        <v>-120.7371</v>
      </c>
      <c r="H3233">
        <v>-7</v>
      </c>
      <c r="I3233">
        <v>694.9</v>
      </c>
      <c r="J3233" t="str">
        <f>HYPERLINK("https://climate.onebuilding.org/WMO_Region_4_North_and_Central_America/CAN_Canada/BC_British_Columbia/CAN_BC_Fort.St.John-North.Peace.Rgnl.AP.719430_TMYx.2007-2021.zip")</f>
        <v>https://climate.onebuilding.org/WMO_Region_4_North_and_Central_America/CAN_Canada/BC_British_Columbia/CAN_BC_Fort.St.John-North.Peace.Rgnl.AP.719430_TMYx.2007-2021.zip</v>
      </c>
    </row>
    <row r="3234" spans="1:10" x14ac:dyDescent="0.25">
      <c r="A3234" t="s">
        <v>6</v>
      </c>
      <c r="B3234" t="s">
        <v>55</v>
      </c>
      <c r="C3234" t="s">
        <v>1627</v>
      </c>
      <c r="D3234">
        <v>719430</v>
      </c>
      <c r="E3234" t="s">
        <v>10</v>
      </c>
      <c r="F3234">
        <v>56.246699999999997</v>
      </c>
      <c r="G3234">
        <v>-120.7371</v>
      </c>
      <c r="H3234">
        <v>-7</v>
      </c>
      <c r="I3234">
        <v>694.9</v>
      </c>
      <c r="J3234" t="str">
        <f>HYPERLINK("https://climate.onebuilding.org/WMO_Region_4_North_and_Central_America/CAN_Canada/BC_British_Columbia/CAN_BC_Fort.St.John-North.Peace.Rgnl.AP.719430_TMYx.2009-2023.zip")</f>
        <v>https://climate.onebuilding.org/WMO_Region_4_North_and_Central_America/CAN_Canada/BC_British_Columbia/CAN_BC_Fort.St.John-North.Peace.Rgnl.AP.719430_TMYx.2009-2023.zip</v>
      </c>
    </row>
    <row r="3235" spans="1:10" x14ac:dyDescent="0.25">
      <c r="A3235" t="s">
        <v>6</v>
      </c>
      <c r="B3235" t="s">
        <v>55</v>
      </c>
      <c r="C3235" t="s">
        <v>1627</v>
      </c>
      <c r="D3235">
        <v>719430</v>
      </c>
      <c r="E3235" t="s">
        <v>10</v>
      </c>
      <c r="F3235">
        <v>56.246699999999997</v>
      </c>
      <c r="G3235">
        <v>-120.7371</v>
      </c>
      <c r="H3235">
        <v>-7</v>
      </c>
      <c r="I3235">
        <v>694.9</v>
      </c>
      <c r="J3235" t="str">
        <f>HYPERLINK("https://climate.onebuilding.org/WMO_Region_4_North_and_Central_America/CAN_Canada/BC_British_Columbia/CAN_BC_Fort.St.John-North.Peace.Rgnl.AP.719430_TMYx.zip")</f>
        <v>https://climate.onebuilding.org/WMO_Region_4_North_and_Central_America/CAN_Canada/BC_British_Columbia/CAN_BC_Fort.St.John-North.Peace.Rgnl.AP.719430_TMYx.zip</v>
      </c>
    </row>
    <row r="3236" spans="1:10" x14ac:dyDescent="0.25">
      <c r="A3236" t="s">
        <v>6</v>
      </c>
      <c r="B3236" t="s">
        <v>55</v>
      </c>
      <c r="C3236" t="s">
        <v>1629</v>
      </c>
      <c r="D3236">
        <v>719440</v>
      </c>
      <c r="E3236" t="s">
        <v>1630</v>
      </c>
      <c r="F3236">
        <v>55.305300000000003</v>
      </c>
      <c r="G3236">
        <v>-123.13809999999999</v>
      </c>
      <c r="H3236">
        <v>-8</v>
      </c>
      <c r="I3236">
        <v>690.1</v>
      </c>
      <c r="J3236" t="str">
        <f>HYPERLINK("https://climate.onebuilding.org/WMO_Region_4_North_and_Central_America/CAN_Canada/BC_British_Columbia/CAN_BC_Mackenzie.Muni.AP.719440_TMYx.2004-2018.zip")</f>
        <v>https://climate.onebuilding.org/WMO_Region_4_North_and_Central_America/CAN_Canada/BC_British_Columbia/CAN_BC_Mackenzie.Muni.AP.719440_TMYx.2004-2018.zip</v>
      </c>
    </row>
    <row r="3237" spans="1:10" x14ac:dyDescent="0.25">
      <c r="A3237" t="s">
        <v>6</v>
      </c>
      <c r="B3237" t="s">
        <v>55</v>
      </c>
      <c r="C3237" t="s">
        <v>1629</v>
      </c>
      <c r="D3237">
        <v>719440</v>
      </c>
      <c r="E3237" t="s">
        <v>10</v>
      </c>
      <c r="F3237">
        <v>55.305300000000003</v>
      </c>
      <c r="G3237">
        <v>-123.13809999999999</v>
      </c>
      <c r="H3237">
        <v>-8</v>
      </c>
      <c r="I3237">
        <v>690.1</v>
      </c>
      <c r="J3237" t="str">
        <f>HYPERLINK("https://climate.onebuilding.org/WMO_Region_4_North_and_Central_America/CAN_Canada/BC_British_Columbia/CAN_BC_Mackenzie.Muni.AP.719440_TMYx.2007-2021.zip")</f>
        <v>https://climate.onebuilding.org/WMO_Region_4_North_and_Central_America/CAN_Canada/BC_British_Columbia/CAN_BC_Mackenzie.Muni.AP.719440_TMYx.2007-2021.zip</v>
      </c>
    </row>
    <row r="3238" spans="1:10" x14ac:dyDescent="0.25">
      <c r="A3238" t="s">
        <v>6</v>
      </c>
      <c r="B3238" t="s">
        <v>55</v>
      </c>
      <c r="C3238" t="s">
        <v>1629</v>
      </c>
      <c r="D3238">
        <v>719440</v>
      </c>
      <c r="E3238" t="s">
        <v>10</v>
      </c>
      <c r="F3238">
        <v>55.305300000000003</v>
      </c>
      <c r="G3238">
        <v>-123.13809999999999</v>
      </c>
      <c r="H3238">
        <v>-8</v>
      </c>
      <c r="I3238">
        <v>690.1</v>
      </c>
      <c r="J3238" t="str">
        <f>HYPERLINK("https://climate.onebuilding.org/WMO_Region_4_North_and_Central_America/CAN_Canada/BC_British_Columbia/CAN_BC_Mackenzie.Muni.AP.719440_TMYx.2009-2023.zip")</f>
        <v>https://climate.onebuilding.org/WMO_Region_4_North_and_Central_America/CAN_Canada/BC_British_Columbia/CAN_BC_Mackenzie.Muni.AP.719440_TMYx.2009-2023.zip</v>
      </c>
    </row>
    <row r="3239" spans="1:10" x14ac:dyDescent="0.25">
      <c r="A3239" t="s">
        <v>6</v>
      </c>
      <c r="B3239" t="s">
        <v>55</v>
      </c>
      <c r="C3239" t="s">
        <v>1629</v>
      </c>
      <c r="D3239">
        <v>719440</v>
      </c>
      <c r="E3239" t="s">
        <v>10</v>
      </c>
      <c r="F3239">
        <v>55.305300000000003</v>
      </c>
      <c r="G3239">
        <v>-123.13809999999999</v>
      </c>
      <c r="H3239">
        <v>-8</v>
      </c>
      <c r="I3239">
        <v>690.1</v>
      </c>
      <c r="J3239" t="str">
        <f>HYPERLINK("https://climate.onebuilding.org/WMO_Region_4_North_and_Central_America/CAN_Canada/BC_British_Columbia/CAN_BC_Mackenzie.Muni.AP.719440_TMYx.zip")</f>
        <v>https://climate.onebuilding.org/WMO_Region_4_North_and_Central_America/CAN_Canada/BC_British_Columbia/CAN_BC_Mackenzie.Muni.AP.719440_TMYx.zip</v>
      </c>
    </row>
    <row r="3240" spans="1:10" x14ac:dyDescent="0.25">
      <c r="A3240" t="s">
        <v>6</v>
      </c>
      <c r="B3240" t="s">
        <v>55</v>
      </c>
      <c r="C3240" t="s">
        <v>1631</v>
      </c>
      <c r="D3240">
        <v>719450</v>
      </c>
      <c r="E3240" t="s">
        <v>1632</v>
      </c>
      <c r="F3240">
        <v>58.836399999999998</v>
      </c>
      <c r="G3240">
        <v>-122.5972</v>
      </c>
      <c r="H3240">
        <v>-8</v>
      </c>
      <c r="I3240">
        <v>381.9</v>
      </c>
      <c r="J3240" t="str">
        <f>HYPERLINK("https://climate.onebuilding.org/WMO_Region_4_North_and_Central_America/CAN_Canada/BC_British_Columbia/CAN_BC_Fort.Nelson-Northern.Rockies.Rgnl.AP.719450_TMYx.2004-2018.zip")</f>
        <v>https://climate.onebuilding.org/WMO_Region_4_North_and_Central_America/CAN_Canada/BC_British_Columbia/CAN_BC_Fort.Nelson-Northern.Rockies.Rgnl.AP.719450_TMYx.2004-2018.zip</v>
      </c>
    </row>
    <row r="3241" spans="1:10" x14ac:dyDescent="0.25">
      <c r="A3241" t="s">
        <v>6</v>
      </c>
      <c r="B3241" t="s">
        <v>55</v>
      </c>
      <c r="C3241" t="s">
        <v>1631</v>
      </c>
      <c r="D3241">
        <v>719450</v>
      </c>
      <c r="E3241" t="s">
        <v>10</v>
      </c>
      <c r="F3241">
        <v>58.841500000000003</v>
      </c>
      <c r="G3241">
        <v>-122.5741</v>
      </c>
      <c r="H3241">
        <v>-8</v>
      </c>
      <c r="I3241">
        <v>381.9</v>
      </c>
      <c r="J3241" t="str">
        <f>HYPERLINK("https://climate.onebuilding.org/WMO_Region_4_North_and_Central_America/CAN_Canada/BC_British_Columbia/CAN_BC_Fort.Nelson-Northern.Rockies.Rgnl.AP.719450_TMYx.2007-2021.zip")</f>
        <v>https://climate.onebuilding.org/WMO_Region_4_North_and_Central_America/CAN_Canada/BC_British_Columbia/CAN_BC_Fort.Nelson-Northern.Rockies.Rgnl.AP.719450_TMYx.2007-2021.zip</v>
      </c>
    </row>
    <row r="3242" spans="1:10" x14ac:dyDescent="0.25">
      <c r="A3242" t="s">
        <v>6</v>
      </c>
      <c r="B3242" t="s">
        <v>55</v>
      </c>
      <c r="C3242" t="s">
        <v>1631</v>
      </c>
      <c r="D3242">
        <v>719450</v>
      </c>
      <c r="E3242" t="s">
        <v>10</v>
      </c>
      <c r="F3242">
        <v>58.841500000000003</v>
      </c>
      <c r="G3242">
        <v>-122.5741</v>
      </c>
      <c r="H3242">
        <v>-8</v>
      </c>
      <c r="I3242">
        <v>381.9</v>
      </c>
      <c r="J3242" t="str">
        <f>HYPERLINK("https://climate.onebuilding.org/WMO_Region_4_North_and_Central_America/CAN_Canada/BC_British_Columbia/CAN_BC_Fort.Nelson-Northern.Rockies.Rgnl.AP.719450_TMYx.2009-2023.zip")</f>
        <v>https://climate.onebuilding.org/WMO_Region_4_North_and_Central_America/CAN_Canada/BC_British_Columbia/CAN_BC_Fort.Nelson-Northern.Rockies.Rgnl.AP.719450_TMYx.2009-2023.zip</v>
      </c>
    </row>
    <row r="3243" spans="1:10" x14ac:dyDescent="0.25">
      <c r="A3243" t="s">
        <v>6</v>
      </c>
      <c r="B3243" t="s">
        <v>55</v>
      </c>
      <c r="C3243" t="s">
        <v>1631</v>
      </c>
      <c r="D3243">
        <v>719450</v>
      </c>
      <c r="E3243" t="s">
        <v>10</v>
      </c>
      <c r="F3243">
        <v>58.841500000000003</v>
      </c>
      <c r="G3243">
        <v>-122.5741</v>
      </c>
      <c r="H3243">
        <v>-8</v>
      </c>
      <c r="I3243">
        <v>381.9</v>
      </c>
      <c r="J3243" t="str">
        <f>HYPERLINK("https://climate.onebuilding.org/WMO_Region_4_North_and_Central_America/CAN_Canada/BC_British_Columbia/CAN_BC_Fort.Nelson-Northern.Rockies.Rgnl.AP.719450_TMYx.zip")</f>
        <v>https://climate.onebuilding.org/WMO_Region_4_North_and_Central_America/CAN_Canada/BC_British_Columbia/CAN_BC_Fort.Nelson-Northern.Rockies.Rgnl.AP.719450_TMYx.zip</v>
      </c>
    </row>
    <row r="3244" spans="1:10" x14ac:dyDescent="0.25">
      <c r="A3244" t="s">
        <v>6</v>
      </c>
      <c r="B3244" t="s">
        <v>11</v>
      </c>
      <c r="C3244" t="s">
        <v>1633</v>
      </c>
      <c r="D3244">
        <v>719455</v>
      </c>
      <c r="E3244" t="s">
        <v>10</v>
      </c>
      <c r="F3244">
        <v>47.516379999999998</v>
      </c>
      <c r="G3244">
        <v>-52.980910000000002</v>
      </c>
      <c r="H3244">
        <v>-3.5</v>
      </c>
      <c r="I3244">
        <v>13</v>
      </c>
      <c r="J3244" t="str">
        <f>HYPERLINK("https://climate.onebuilding.org/WMO_Region_4_North_and_Central_America/CAN_Canada/NL_Newfoundland_and_Labrador/CAN_NL_Long.Pond.Heliport.719455_TMYx.2007-2021.zip")</f>
        <v>https://climate.onebuilding.org/WMO_Region_4_North_and_Central_America/CAN_Canada/NL_Newfoundland_and_Labrador/CAN_NL_Long.Pond.Heliport.719455_TMYx.2007-2021.zip</v>
      </c>
    </row>
    <row r="3245" spans="1:10" x14ac:dyDescent="0.25">
      <c r="A3245" t="s">
        <v>6</v>
      </c>
      <c r="B3245" t="s">
        <v>11</v>
      </c>
      <c r="C3245" t="s">
        <v>1633</v>
      </c>
      <c r="D3245">
        <v>719455</v>
      </c>
      <c r="E3245" t="s">
        <v>10</v>
      </c>
      <c r="F3245">
        <v>47.516379999999998</v>
      </c>
      <c r="G3245">
        <v>-52.980910000000002</v>
      </c>
      <c r="H3245">
        <v>-3.5</v>
      </c>
      <c r="I3245">
        <v>13</v>
      </c>
      <c r="J3245" t="str">
        <f>HYPERLINK("https://climate.onebuilding.org/WMO_Region_4_North_and_Central_America/CAN_Canada/NL_Newfoundland_and_Labrador/CAN_NL_Long.Pond.Heliport.719455_TMYx.2009-2023.zip")</f>
        <v>https://climate.onebuilding.org/WMO_Region_4_North_and_Central_America/CAN_Canada/NL_Newfoundland_and_Labrador/CAN_NL_Long.Pond.Heliport.719455_TMYx.2009-2023.zip</v>
      </c>
    </row>
    <row r="3246" spans="1:10" x14ac:dyDescent="0.25">
      <c r="A3246" t="s">
        <v>6</v>
      </c>
      <c r="B3246" t="s">
        <v>11</v>
      </c>
      <c r="C3246" t="s">
        <v>1633</v>
      </c>
      <c r="D3246">
        <v>719455</v>
      </c>
      <c r="E3246" t="s">
        <v>10</v>
      </c>
      <c r="F3246">
        <v>47.516379999999998</v>
      </c>
      <c r="G3246">
        <v>-52.980910000000002</v>
      </c>
      <c r="H3246">
        <v>-3.5</v>
      </c>
      <c r="I3246">
        <v>13</v>
      </c>
      <c r="J3246" t="str">
        <f>HYPERLINK("https://climate.onebuilding.org/WMO_Region_4_North_and_Central_America/CAN_Canada/NL_Newfoundland_and_Labrador/CAN_NL_Long.Pond.Heliport.719455_TMYx.zip")</f>
        <v>https://climate.onebuilding.org/WMO_Region_4_North_and_Central_America/CAN_Canada/NL_Newfoundland_and_Labrador/CAN_NL_Long.Pond.Heliport.719455_TMYx.zip</v>
      </c>
    </row>
    <row r="3247" spans="1:10" x14ac:dyDescent="0.25">
      <c r="A3247" t="s">
        <v>6</v>
      </c>
      <c r="B3247" t="s">
        <v>48</v>
      </c>
      <c r="C3247" t="s">
        <v>1634</v>
      </c>
      <c r="D3247">
        <v>719460</v>
      </c>
      <c r="E3247" t="s">
        <v>1635</v>
      </c>
      <c r="F3247">
        <v>61.760300000000001</v>
      </c>
      <c r="G3247">
        <v>-121.2367</v>
      </c>
      <c r="H3247">
        <v>-7</v>
      </c>
      <c r="I3247">
        <v>169.2</v>
      </c>
      <c r="J3247" t="str">
        <f>HYPERLINK("https://climate.onebuilding.org/WMO_Region_4_North_and_Central_America/CAN_Canada/NT_Northwest_Territories/CAN_NT_Fort.Simpson.AP.719460_TMYx.2004-2018.zip")</f>
        <v>https://climate.onebuilding.org/WMO_Region_4_North_and_Central_America/CAN_Canada/NT_Northwest_Territories/CAN_NT_Fort.Simpson.AP.719460_TMYx.2004-2018.zip</v>
      </c>
    </row>
    <row r="3248" spans="1:10" x14ac:dyDescent="0.25">
      <c r="A3248" t="s">
        <v>6</v>
      </c>
      <c r="B3248" t="s">
        <v>48</v>
      </c>
      <c r="C3248" t="s">
        <v>1634</v>
      </c>
      <c r="D3248">
        <v>719460</v>
      </c>
      <c r="E3248" t="s">
        <v>10</v>
      </c>
      <c r="F3248">
        <v>61.758699999999997</v>
      </c>
      <c r="G3248">
        <v>-121.23009999999999</v>
      </c>
      <c r="H3248">
        <v>-7</v>
      </c>
      <c r="I3248">
        <v>169.2</v>
      </c>
      <c r="J3248" t="str">
        <f>HYPERLINK("https://climate.onebuilding.org/WMO_Region_4_North_and_Central_America/CAN_Canada/NT_Northwest_Territories/CAN_NT_Fort.Simpson.AP.719460_TMYx.2007-2021.zip")</f>
        <v>https://climate.onebuilding.org/WMO_Region_4_North_and_Central_America/CAN_Canada/NT_Northwest_Territories/CAN_NT_Fort.Simpson.AP.719460_TMYx.2007-2021.zip</v>
      </c>
    </row>
    <row r="3249" spans="1:10" x14ac:dyDescent="0.25">
      <c r="A3249" t="s">
        <v>6</v>
      </c>
      <c r="B3249" t="s">
        <v>48</v>
      </c>
      <c r="C3249" t="s">
        <v>1634</v>
      </c>
      <c r="D3249">
        <v>719460</v>
      </c>
      <c r="E3249" t="s">
        <v>10</v>
      </c>
      <c r="F3249">
        <v>61.758699999999997</v>
      </c>
      <c r="G3249">
        <v>-121.23009999999999</v>
      </c>
      <c r="H3249">
        <v>-7</v>
      </c>
      <c r="I3249">
        <v>169.2</v>
      </c>
      <c r="J3249" t="str">
        <f>HYPERLINK("https://climate.onebuilding.org/WMO_Region_4_North_and_Central_America/CAN_Canada/NT_Northwest_Territories/CAN_NT_Fort.Simpson.AP.719460_TMYx.2009-2023.zip")</f>
        <v>https://climate.onebuilding.org/WMO_Region_4_North_and_Central_America/CAN_Canada/NT_Northwest_Territories/CAN_NT_Fort.Simpson.AP.719460_TMYx.2009-2023.zip</v>
      </c>
    </row>
    <row r="3250" spans="1:10" x14ac:dyDescent="0.25">
      <c r="A3250" t="s">
        <v>6</v>
      </c>
      <c r="B3250" t="s">
        <v>48</v>
      </c>
      <c r="C3250" t="s">
        <v>1634</v>
      </c>
      <c r="D3250">
        <v>719460</v>
      </c>
      <c r="E3250" t="s">
        <v>10</v>
      </c>
      <c r="F3250">
        <v>61.758699999999997</v>
      </c>
      <c r="G3250">
        <v>-121.23009999999999</v>
      </c>
      <c r="H3250">
        <v>-7</v>
      </c>
      <c r="I3250">
        <v>169.2</v>
      </c>
      <c r="J3250" t="str">
        <f>HYPERLINK("https://climate.onebuilding.org/WMO_Region_4_North_and_Central_America/CAN_Canada/NT_Northwest_Territories/CAN_NT_Fort.Simpson.AP.719460_TMYx.zip")</f>
        <v>https://climate.onebuilding.org/WMO_Region_4_North_and_Central_America/CAN_Canada/NT_Northwest_Territories/CAN_NT_Fort.Simpson.AP.719460_TMYx.zip</v>
      </c>
    </row>
    <row r="3251" spans="1:10" x14ac:dyDescent="0.25">
      <c r="A3251" t="s">
        <v>6</v>
      </c>
      <c r="B3251" t="s">
        <v>48</v>
      </c>
      <c r="C3251" t="s">
        <v>1636</v>
      </c>
      <c r="D3251">
        <v>719465</v>
      </c>
      <c r="E3251" t="s">
        <v>10</v>
      </c>
      <c r="F3251">
        <v>63.209000000000003</v>
      </c>
      <c r="G3251">
        <v>-123.437</v>
      </c>
      <c r="H3251">
        <v>-7</v>
      </c>
      <c r="I3251">
        <v>149</v>
      </c>
      <c r="J3251" t="str">
        <f>HYPERLINK("https://climate.onebuilding.org/WMO_Region_4_North_and_Central_America/CAN_Canada/NT_Northwest_Territories/CAN_NT_Wrigley.AP.719465_TMYx.2007-2021.zip")</f>
        <v>https://climate.onebuilding.org/WMO_Region_4_North_and_Central_America/CAN_Canada/NT_Northwest_Territories/CAN_NT_Wrigley.AP.719465_TMYx.2007-2021.zip</v>
      </c>
    </row>
    <row r="3252" spans="1:10" x14ac:dyDescent="0.25">
      <c r="A3252" t="s">
        <v>6</v>
      </c>
      <c r="B3252" t="s">
        <v>48</v>
      </c>
      <c r="C3252" t="s">
        <v>1636</v>
      </c>
      <c r="D3252">
        <v>719465</v>
      </c>
      <c r="E3252" t="s">
        <v>10</v>
      </c>
      <c r="F3252">
        <v>63.209000000000003</v>
      </c>
      <c r="G3252">
        <v>-123.437</v>
      </c>
      <c r="H3252">
        <v>-7</v>
      </c>
      <c r="I3252">
        <v>149</v>
      </c>
      <c r="J3252" t="str">
        <f>HYPERLINK("https://climate.onebuilding.org/WMO_Region_4_North_and_Central_America/CAN_Canada/NT_Northwest_Territories/CAN_NT_Wrigley.AP.719465_TMYx.2009-2023.zip")</f>
        <v>https://climate.onebuilding.org/WMO_Region_4_North_and_Central_America/CAN_Canada/NT_Northwest_Territories/CAN_NT_Wrigley.AP.719465_TMYx.2009-2023.zip</v>
      </c>
    </row>
    <row r="3253" spans="1:10" x14ac:dyDescent="0.25">
      <c r="A3253" t="s">
        <v>6</v>
      </c>
      <c r="B3253" t="s">
        <v>48</v>
      </c>
      <c r="C3253" t="s">
        <v>1636</v>
      </c>
      <c r="D3253">
        <v>719465</v>
      </c>
      <c r="E3253" t="s">
        <v>10</v>
      </c>
      <c r="F3253">
        <v>63.209000000000003</v>
      </c>
      <c r="G3253">
        <v>-123.437</v>
      </c>
      <c r="H3253">
        <v>-7</v>
      </c>
      <c r="I3253">
        <v>149</v>
      </c>
      <c r="J3253" t="str">
        <f>HYPERLINK("https://climate.onebuilding.org/WMO_Region_4_North_and_Central_America/CAN_Canada/NT_Northwest_Territories/CAN_NT_Wrigley.AP.719465_TMYx.zip")</f>
        <v>https://climate.onebuilding.org/WMO_Region_4_North_and_Central_America/CAN_Canada/NT_Northwest_Territories/CAN_NT_Wrigley.AP.719465_TMYx.zip</v>
      </c>
    </row>
    <row r="3254" spans="1:10" x14ac:dyDescent="0.25">
      <c r="A3254" t="s">
        <v>6</v>
      </c>
      <c r="B3254" t="s">
        <v>48</v>
      </c>
      <c r="C3254" t="s">
        <v>1637</v>
      </c>
      <c r="D3254">
        <v>719480</v>
      </c>
      <c r="E3254" t="s">
        <v>1638</v>
      </c>
      <c r="F3254">
        <v>70.166700000000006</v>
      </c>
      <c r="G3254">
        <v>-124.7167</v>
      </c>
      <c r="H3254">
        <v>-7</v>
      </c>
      <c r="I3254">
        <v>86.6</v>
      </c>
      <c r="J3254" t="str">
        <f>HYPERLINK("https://climate.onebuilding.org/WMO_Region_4_North_and_Central_America/CAN_Canada/NT_Northwest_Territories/CAN_NT_Cape.Parry.AP.719480_TMYx.2004-2018.zip")</f>
        <v>https://climate.onebuilding.org/WMO_Region_4_North_and_Central_America/CAN_Canada/NT_Northwest_Territories/CAN_NT_Cape.Parry.AP.719480_TMYx.2004-2018.zip</v>
      </c>
    </row>
    <row r="3255" spans="1:10" x14ac:dyDescent="0.25">
      <c r="A3255" t="s">
        <v>6</v>
      </c>
      <c r="B3255" t="s">
        <v>48</v>
      </c>
      <c r="C3255" t="s">
        <v>1637</v>
      </c>
      <c r="D3255">
        <v>719480</v>
      </c>
      <c r="E3255" t="s">
        <v>10</v>
      </c>
      <c r="F3255">
        <v>70.166700000000006</v>
      </c>
      <c r="G3255">
        <v>-124.7167</v>
      </c>
      <c r="H3255">
        <v>-7</v>
      </c>
      <c r="I3255">
        <v>86.6</v>
      </c>
      <c r="J3255" t="str">
        <f>HYPERLINK("https://climate.onebuilding.org/WMO_Region_4_North_and_Central_America/CAN_Canada/NT_Northwest_Territories/CAN_NT_Cape.Parry.AP.719480_TMYx.2007-2021.zip")</f>
        <v>https://climate.onebuilding.org/WMO_Region_4_North_and_Central_America/CAN_Canada/NT_Northwest_Territories/CAN_NT_Cape.Parry.AP.719480_TMYx.2007-2021.zip</v>
      </c>
    </row>
    <row r="3256" spans="1:10" x14ac:dyDescent="0.25">
      <c r="A3256" t="s">
        <v>6</v>
      </c>
      <c r="B3256" t="s">
        <v>48</v>
      </c>
      <c r="C3256" t="s">
        <v>1637</v>
      </c>
      <c r="D3256">
        <v>719480</v>
      </c>
      <c r="E3256" t="s">
        <v>10</v>
      </c>
      <c r="F3256">
        <v>70.166700000000006</v>
      </c>
      <c r="G3256">
        <v>-124.7167</v>
      </c>
      <c r="H3256">
        <v>-7</v>
      </c>
      <c r="I3256">
        <v>86.6</v>
      </c>
      <c r="J3256" t="str">
        <f>HYPERLINK("https://climate.onebuilding.org/WMO_Region_4_North_and_Central_America/CAN_Canada/NT_Northwest_Territories/CAN_NT_Cape.Parry.AP.719480_TMYx.2009-2023.zip")</f>
        <v>https://climate.onebuilding.org/WMO_Region_4_North_and_Central_America/CAN_Canada/NT_Northwest_Territories/CAN_NT_Cape.Parry.AP.719480_TMYx.2009-2023.zip</v>
      </c>
    </row>
    <row r="3257" spans="1:10" x14ac:dyDescent="0.25">
      <c r="A3257" t="s">
        <v>6</v>
      </c>
      <c r="B3257" t="s">
        <v>48</v>
      </c>
      <c r="C3257" t="s">
        <v>1637</v>
      </c>
      <c r="D3257">
        <v>719480</v>
      </c>
      <c r="E3257" t="s">
        <v>10</v>
      </c>
      <c r="F3257">
        <v>70.166700000000006</v>
      </c>
      <c r="G3257">
        <v>-124.7167</v>
      </c>
      <c r="H3257">
        <v>-7</v>
      </c>
      <c r="I3257">
        <v>86.6</v>
      </c>
      <c r="J3257" t="str">
        <f>HYPERLINK("https://climate.onebuilding.org/WMO_Region_4_North_and_Central_America/CAN_Canada/NT_Northwest_Territories/CAN_NT_Cape.Parry.AP.719480_TMYx.zip")</f>
        <v>https://climate.onebuilding.org/WMO_Region_4_North_and_Central_America/CAN_Canada/NT_Northwest_Territories/CAN_NT_Cape.Parry.AP.719480_TMYx.zip</v>
      </c>
    </row>
    <row r="3258" spans="1:10" x14ac:dyDescent="0.25">
      <c r="A3258" t="s">
        <v>6</v>
      </c>
      <c r="B3258" t="s">
        <v>7</v>
      </c>
      <c r="C3258" t="s">
        <v>1639</v>
      </c>
      <c r="D3258">
        <v>719490</v>
      </c>
      <c r="E3258" t="s">
        <v>1640</v>
      </c>
      <c r="F3258">
        <v>62.232999999999997</v>
      </c>
      <c r="G3258">
        <v>-133.35</v>
      </c>
      <c r="H3258">
        <v>-8</v>
      </c>
      <c r="I3258">
        <v>717</v>
      </c>
      <c r="J3258" t="str">
        <f>HYPERLINK("https://climate.onebuilding.org/WMO_Region_4_North_and_Central_America/CAN_Canada/YT_Yukon/CAN_YT_Faro.719490_TMYx.2004-2018.zip")</f>
        <v>https://climate.onebuilding.org/WMO_Region_4_North_and_Central_America/CAN_Canada/YT_Yukon/CAN_YT_Faro.719490_TMYx.2004-2018.zip</v>
      </c>
    </row>
    <row r="3259" spans="1:10" x14ac:dyDescent="0.25">
      <c r="A3259" t="s">
        <v>6</v>
      </c>
      <c r="B3259" t="s">
        <v>7</v>
      </c>
      <c r="C3259" t="s">
        <v>1639</v>
      </c>
      <c r="D3259">
        <v>719490</v>
      </c>
      <c r="E3259" t="s">
        <v>10</v>
      </c>
      <c r="F3259">
        <v>62.21</v>
      </c>
      <c r="G3259">
        <v>-133.38499999999999</v>
      </c>
      <c r="H3259">
        <v>-8</v>
      </c>
      <c r="I3259">
        <v>717</v>
      </c>
      <c r="J3259" t="str">
        <f>HYPERLINK("https://climate.onebuilding.org/WMO_Region_4_North_and_Central_America/CAN_Canada/YT_Yukon/CAN_YT_Faro.719490_TMYx.2007-2021.zip")</f>
        <v>https://climate.onebuilding.org/WMO_Region_4_North_and_Central_America/CAN_Canada/YT_Yukon/CAN_YT_Faro.719490_TMYx.2007-2021.zip</v>
      </c>
    </row>
    <row r="3260" spans="1:10" x14ac:dyDescent="0.25">
      <c r="A3260" t="s">
        <v>6</v>
      </c>
      <c r="B3260" t="s">
        <v>7</v>
      </c>
      <c r="C3260" t="s">
        <v>1639</v>
      </c>
      <c r="D3260">
        <v>719490</v>
      </c>
      <c r="E3260" t="s">
        <v>10</v>
      </c>
      <c r="F3260">
        <v>62.21</v>
      </c>
      <c r="G3260">
        <v>-133.38499999999999</v>
      </c>
      <c r="H3260">
        <v>-8</v>
      </c>
      <c r="I3260">
        <v>717</v>
      </c>
      <c r="J3260" t="str">
        <f>HYPERLINK("https://climate.onebuilding.org/WMO_Region_4_North_and_Central_America/CAN_Canada/YT_Yukon/CAN_YT_Faro.719490_TMYx.2009-2023.zip")</f>
        <v>https://climate.onebuilding.org/WMO_Region_4_North_and_Central_America/CAN_Canada/YT_Yukon/CAN_YT_Faro.719490_TMYx.2009-2023.zip</v>
      </c>
    </row>
    <row r="3261" spans="1:10" x14ac:dyDescent="0.25">
      <c r="A3261" t="s">
        <v>6</v>
      </c>
      <c r="B3261" t="s">
        <v>7</v>
      </c>
      <c r="C3261" t="s">
        <v>1639</v>
      </c>
      <c r="D3261">
        <v>719490</v>
      </c>
      <c r="E3261" t="s">
        <v>10</v>
      </c>
      <c r="F3261">
        <v>62.21</v>
      </c>
      <c r="G3261">
        <v>-133.38499999999999</v>
      </c>
      <c r="H3261">
        <v>-8</v>
      </c>
      <c r="I3261">
        <v>717</v>
      </c>
      <c r="J3261" t="str">
        <f>HYPERLINK("https://climate.onebuilding.org/WMO_Region_4_North_and_Central_America/CAN_Canada/YT_Yukon/CAN_YT_Faro.719490_TMYx.zip")</f>
        <v>https://climate.onebuilding.org/WMO_Region_4_North_and_Central_America/CAN_Canada/YT_Yukon/CAN_YT_Faro.719490_TMYx.zip</v>
      </c>
    </row>
    <row r="3262" spans="1:10" x14ac:dyDescent="0.25">
      <c r="A3262" t="s">
        <v>6</v>
      </c>
      <c r="B3262" t="s">
        <v>55</v>
      </c>
      <c r="C3262" t="s">
        <v>1641</v>
      </c>
      <c r="D3262">
        <v>719500</v>
      </c>
      <c r="E3262" t="s">
        <v>1642</v>
      </c>
      <c r="F3262">
        <v>54.825299999999999</v>
      </c>
      <c r="G3262">
        <v>-127.1828</v>
      </c>
      <c r="H3262">
        <v>-8</v>
      </c>
      <c r="I3262">
        <v>523</v>
      </c>
      <c r="J3262" t="str">
        <f>HYPERLINK("https://climate.onebuilding.org/WMO_Region_4_North_and_Central_America/CAN_Canada/BC_British_Columbia/CAN_BC_Smithers.Rgnl.AP.719500_TMYx.2004-2018.zip")</f>
        <v>https://climate.onebuilding.org/WMO_Region_4_North_and_Central_America/CAN_Canada/BC_British_Columbia/CAN_BC_Smithers.Rgnl.AP.719500_TMYx.2004-2018.zip</v>
      </c>
    </row>
    <row r="3263" spans="1:10" x14ac:dyDescent="0.25">
      <c r="A3263" t="s">
        <v>6</v>
      </c>
      <c r="B3263" t="s">
        <v>55</v>
      </c>
      <c r="C3263" t="s">
        <v>1641</v>
      </c>
      <c r="D3263">
        <v>719500</v>
      </c>
      <c r="E3263" t="s">
        <v>10</v>
      </c>
      <c r="F3263">
        <v>54.824199999999998</v>
      </c>
      <c r="G3263">
        <v>-127.18940000000001</v>
      </c>
      <c r="H3263">
        <v>-8</v>
      </c>
      <c r="I3263">
        <v>523</v>
      </c>
      <c r="J3263" t="str">
        <f>HYPERLINK("https://climate.onebuilding.org/WMO_Region_4_North_and_Central_America/CAN_Canada/BC_British_Columbia/CAN_BC_Smithers.Rgnl.AP.719500_TMYx.2007-2021.zip")</f>
        <v>https://climate.onebuilding.org/WMO_Region_4_North_and_Central_America/CAN_Canada/BC_British_Columbia/CAN_BC_Smithers.Rgnl.AP.719500_TMYx.2007-2021.zip</v>
      </c>
    </row>
    <row r="3264" spans="1:10" x14ac:dyDescent="0.25">
      <c r="A3264" t="s">
        <v>6</v>
      </c>
      <c r="B3264" t="s">
        <v>55</v>
      </c>
      <c r="C3264" t="s">
        <v>1641</v>
      </c>
      <c r="D3264">
        <v>719500</v>
      </c>
      <c r="E3264" t="s">
        <v>10</v>
      </c>
      <c r="F3264">
        <v>54.824199999999998</v>
      </c>
      <c r="G3264">
        <v>-127.18940000000001</v>
      </c>
      <c r="H3264">
        <v>-8</v>
      </c>
      <c r="I3264">
        <v>523</v>
      </c>
      <c r="J3264" t="str">
        <f>HYPERLINK("https://climate.onebuilding.org/WMO_Region_4_North_and_Central_America/CAN_Canada/BC_British_Columbia/CAN_BC_Smithers.Rgnl.AP.719500_TMYx.2009-2023.zip")</f>
        <v>https://climate.onebuilding.org/WMO_Region_4_North_and_Central_America/CAN_Canada/BC_British_Columbia/CAN_BC_Smithers.Rgnl.AP.719500_TMYx.2009-2023.zip</v>
      </c>
    </row>
    <row r="3265" spans="1:10" x14ac:dyDescent="0.25">
      <c r="A3265" t="s">
        <v>6</v>
      </c>
      <c r="B3265" t="s">
        <v>55</v>
      </c>
      <c r="C3265" t="s">
        <v>1641</v>
      </c>
      <c r="D3265">
        <v>719500</v>
      </c>
      <c r="E3265" t="s">
        <v>10</v>
      </c>
      <c r="F3265">
        <v>54.824199999999998</v>
      </c>
      <c r="G3265">
        <v>-127.18940000000001</v>
      </c>
      <c r="H3265">
        <v>-8</v>
      </c>
      <c r="I3265">
        <v>523</v>
      </c>
      <c r="J3265" t="str">
        <f>HYPERLINK("https://climate.onebuilding.org/WMO_Region_4_North_and_Central_America/CAN_Canada/BC_British_Columbia/CAN_BC_Smithers.Rgnl.AP.719500_TMYx.zip")</f>
        <v>https://climate.onebuilding.org/WMO_Region_4_North_and_Central_America/CAN_Canada/BC_British_Columbia/CAN_BC_Smithers.Rgnl.AP.719500_TMYx.zip</v>
      </c>
    </row>
    <row r="3266" spans="1:10" x14ac:dyDescent="0.25">
      <c r="A3266" t="s">
        <v>6</v>
      </c>
      <c r="B3266" t="s">
        <v>55</v>
      </c>
      <c r="C3266" t="s">
        <v>1643</v>
      </c>
      <c r="D3266">
        <v>719510</v>
      </c>
      <c r="E3266" t="s">
        <v>1644</v>
      </c>
      <c r="F3266">
        <v>54.4664</v>
      </c>
      <c r="G3266">
        <v>-128.57749999999999</v>
      </c>
      <c r="H3266">
        <v>-8</v>
      </c>
      <c r="I3266">
        <v>217.3</v>
      </c>
      <c r="J3266" t="str">
        <f>HYPERLINK("https://climate.onebuilding.org/WMO_Region_4_North_and_Central_America/CAN_Canada/BC_British_Columbia/CAN_BC_Terrace.AP.719510_TMYx.2004-2018.zip")</f>
        <v>https://climate.onebuilding.org/WMO_Region_4_North_and_Central_America/CAN_Canada/BC_British_Columbia/CAN_BC_Terrace.AP.719510_TMYx.2004-2018.zip</v>
      </c>
    </row>
    <row r="3267" spans="1:10" x14ac:dyDescent="0.25">
      <c r="A3267" t="s">
        <v>6</v>
      </c>
      <c r="B3267" t="s">
        <v>55</v>
      </c>
      <c r="C3267" t="s">
        <v>1643</v>
      </c>
      <c r="D3267">
        <v>719510</v>
      </c>
      <c r="E3267" t="s">
        <v>10</v>
      </c>
      <c r="F3267">
        <v>54.4664</v>
      </c>
      <c r="G3267">
        <v>-128.57749999999999</v>
      </c>
      <c r="H3267">
        <v>-8</v>
      </c>
      <c r="I3267">
        <v>217.3</v>
      </c>
      <c r="J3267" t="str">
        <f>HYPERLINK("https://climate.onebuilding.org/WMO_Region_4_North_and_Central_America/CAN_Canada/BC_British_Columbia/CAN_BC_Terrace.AP.719510_TMYx.2007-2021.zip")</f>
        <v>https://climate.onebuilding.org/WMO_Region_4_North_and_Central_America/CAN_Canada/BC_British_Columbia/CAN_BC_Terrace.AP.719510_TMYx.2007-2021.zip</v>
      </c>
    </row>
    <row r="3268" spans="1:10" x14ac:dyDescent="0.25">
      <c r="A3268" t="s">
        <v>6</v>
      </c>
      <c r="B3268" t="s">
        <v>55</v>
      </c>
      <c r="C3268" t="s">
        <v>1643</v>
      </c>
      <c r="D3268">
        <v>719510</v>
      </c>
      <c r="E3268" t="s">
        <v>10</v>
      </c>
      <c r="F3268">
        <v>54.4664</v>
      </c>
      <c r="G3268">
        <v>-128.57749999999999</v>
      </c>
      <c r="H3268">
        <v>-8</v>
      </c>
      <c r="I3268">
        <v>217.3</v>
      </c>
      <c r="J3268" t="str">
        <f>HYPERLINK("https://climate.onebuilding.org/WMO_Region_4_North_and_Central_America/CAN_Canada/BC_British_Columbia/CAN_BC_Terrace.AP.719510_TMYx.2009-2023.zip")</f>
        <v>https://climate.onebuilding.org/WMO_Region_4_North_and_Central_America/CAN_Canada/BC_British_Columbia/CAN_BC_Terrace.AP.719510_TMYx.2009-2023.zip</v>
      </c>
    </row>
    <row r="3269" spans="1:10" x14ac:dyDescent="0.25">
      <c r="A3269" t="s">
        <v>6</v>
      </c>
      <c r="B3269" t="s">
        <v>55</v>
      </c>
      <c r="C3269" t="s">
        <v>1643</v>
      </c>
      <c r="D3269">
        <v>719510</v>
      </c>
      <c r="E3269" t="s">
        <v>10</v>
      </c>
      <c r="F3269">
        <v>54.4664</v>
      </c>
      <c r="G3269">
        <v>-128.57749999999999</v>
      </c>
      <c r="H3269">
        <v>-8</v>
      </c>
      <c r="I3269">
        <v>217.3</v>
      </c>
      <c r="J3269" t="str">
        <f>HYPERLINK("https://climate.onebuilding.org/WMO_Region_4_North_and_Central_America/CAN_Canada/BC_British_Columbia/CAN_BC_Terrace.AP.719510_TMYx.zip")</f>
        <v>https://climate.onebuilding.org/WMO_Region_4_North_and_Central_America/CAN_Canada/BC_British_Columbia/CAN_BC_Terrace.AP.719510_TMYx.zip</v>
      </c>
    </row>
    <row r="3270" spans="1:10" x14ac:dyDescent="0.25">
      <c r="A3270" t="s">
        <v>6</v>
      </c>
      <c r="B3270" t="s">
        <v>55</v>
      </c>
      <c r="C3270" t="s">
        <v>1645</v>
      </c>
      <c r="D3270">
        <v>719520</v>
      </c>
      <c r="E3270" t="s">
        <v>1646</v>
      </c>
      <c r="F3270">
        <v>54.383099999999999</v>
      </c>
      <c r="G3270">
        <v>-125.9586</v>
      </c>
      <c r="H3270">
        <v>-8</v>
      </c>
      <c r="I3270">
        <v>713</v>
      </c>
      <c r="J3270" t="str">
        <f>HYPERLINK("https://climate.onebuilding.org/WMO_Region_4_North_and_Central_America/CAN_Canada/BC_British_Columbia/CAN_BC_Burns.Lake.AP.719520_TMYx.2004-2018.zip")</f>
        <v>https://climate.onebuilding.org/WMO_Region_4_North_and_Central_America/CAN_Canada/BC_British_Columbia/CAN_BC_Burns.Lake.AP.719520_TMYx.2004-2018.zip</v>
      </c>
    </row>
    <row r="3271" spans="1:10" x14ac:dyDescent="0.25">
      <c r="A3271" t="s">
        <v>6</v>
      </c>
      <c r="B3271" t="s">
        <v>55</v>
      </c>
      <c r="C3271" t="s">
        <v>1645</v>
      </c>
      <c r="D3271">
        <v>719520</v>
      </c>
      <c r="E3271" t="s">
        <v>10</v>
      </c>
      <c r="F3271">
        <v>54.383099999999999</v>
      </c>
      <c r="G3271">
        <v>-125.9586</v>
      </c>
      <c r="H3271">
        <v>-8</v>
      </c>
      <c r="I3271">
        <v>713</v>
      </c>
      <c r="J3271" t="str">
        <f>HYPERLINK("https://climate.onebuilding.org/WMO_Region_4_North_and_Central_America/CAN_Canada/BC_British_Columbia/CAN_BC_Burns.Lake.AP.719520_TMYx.2007-2021.zip")</f>
        <v>https://climate.onebuilding.org/WMO_Region_4_North_and_Central_America/CAN_Canada/BC_British_Columbia/CAN_BC_Burns.Lake.AP.719520_TMYx.2007-2021.zip</v>
      </c>
    </row>
    <row r="3272" spans="1:10" x14ac:dyDescent="0.25">
      <c r="A3272" t="s">
        <v>6</v>
      </c>
      <c r="B3272" t="s">
        <v>55</v>
      </c>
      <c r="C3272" t="s">
        <v>1645</v>
      </c>
      <c r="D3272">
        <v>719520</v>
      </c>
      <c r="E3272" t="s">
        <v>10</v>
      </c>
      <c r="F3272">
        <v>54.383099999999999</v>
      </c>
      <c r="G3272">
        <v>-125.9586</v>
      </c>
      <c r="H3272">
        <v>-8</v>
      </c>
      <c r="I3272">
        <v>713</v>
      </c>
      <c r="J3272" t="str">
        <f>HYPERLINK("https://climate.onebuilding.org/WMO_Region_4_North_and_Central_America/CAN_Canada/BC_British_Columbia/CAN_BC_Burns.Lake.AP.719520_TMYx.2009-2023.zip")</f>
        <v>https://climate.onebuilding.org/WMO_Region_4_North_and_Central_America/CAN_Canada/BC_British_Columbia/CAN_BC_Burns.Lake.AP.719520_TMYx.2009-2023.zip</v>
      </c>
    </row>
    <row r="3273" spans="1:10" x14ac:dyDescent="0.25">
      <c r="A3273" t="s">
        <v>6</v>
      </c>
      <c r="B3273" t="s">
        <v>55</v>
      </c>
      <c r="C3273" t="s">
        <v>1645</v>
      </c>
      <c r="D3273">
        <v>719520</v>
      </c>
      <c r="E3273" t="s">
        <v>10</v>
      </c>
      <c r="F3273">
        <v>54.383099999999999</v>
      </c>
      <c r="G3273">
        <v>-125.9586</v>
      </c>
      <c r="H3273">
        <v>-8</v>
      </c>
      <c r="I3273">
        <v>713</v>
      </c>
      <c r="J3273" t="str">
        <f>HYPERLINK("https://climate.onebuilding.org/WMO_Region_4_North_and_Central_America/CAN_Canada/BC_British_Columbia/CAN_BC_Burns.Lake.AP.719520_TMYx.zip")</f>
        <v>https://climate.onebuilding.org/WMO_Region_4_North_and_Central_America/CAN_Canada/BC_British_Columbia/CAN_BC_Burns.Lake.AP.719520_TMYx.zip</v>
      </c>
    </row>
    <row r="3274" spans="1:10" x14ac:dyDescent="0.25">
      <c r="A3274" t="s">
        <v>6</v>
      </c>
      <c r="B3274" t="s">
        <v>55</v>
      </c>
      <c r="C3274" t="s">
        <v>1647</v>
      </c>
      <c r="D3274">
        <v>719525</v>
      </c>
      <c r="E3274" t="s">
        <v>10</v>
      </c>
      <c r="F3274">
        <v>54.232999999999997</v>
      </c>
      <c r="G3274">
        <v>-125.767</v>
      </c>
      <c r="H3274">
        <v>-8</v>
      </c>
      <c r="I3274">
        <v>704</v>
      </c>
      <c r="J3274" t="str">
        <f>HYPERLINK("https://climate.onebuilding.org/WMO_Region_4_North_and_Central_America/CAN_Canada/BC_British_Columbia/CAN_BC_Burns.Lake.719525_TMYx.zip")</f>
        <v>https://climate.onebuilding.org/WMO_Region_4_North_and_Central_America/CAN_Canada/BC_British_Columbia/CAN_BC_Burns.Lake.719525_TMYx.zip</v>
      </c>
    </row>
    <row r="3275" spans="1:10" x14ac:dyDescent="0.25">
      <c r="A3275" t="s">
        <v>6</v>
      </c>
      <c r="B3275" t="s">
        <v>94</v>
      </c>
      <c r="C3275" t="s">
        <v>1648</v>
      </c>
      <c r="D3275">
        <v>719540</v>
      </c>
      <c r="E3275" t="s">
        <v>1649</v>
      </c>
      <c r="F3275">
        <v>54.683300000000003</v>
      </c>
      <c r="G3275">
        <v>-101.6833</v>
      </c>
      <c r="H3275">
        <v>-6</v>
      </c>
      <c r="I3275">
        <v>303.89999999999998</v>
      </c>
      <c r="J3275" t="str">
        <f>HYPERLINK("https://climate.onebuilding.org/WMO_Region_4_North_and_Central_America/CAN_Canada/MB_Manitoba/CAN_MB_Flin.Flon.AP.719540_TMYx.2004-2018.zip")</f>
        <v>https://climate.onebuilding.org/WMO_Region_4_North_and_Central_America/CAN_Canada/MB_Manitoba/CAN_MB_Flin.Flon.AP.719540_TMYx.2004-2018.zip</v>
      </c>
    </row>
    <row r="3276" spans="1:10" x14ac:dyDescent="0.25">
      <c r="A3276" t="s">
        <v>6</v>
      </c>
      <c r="B3276" t="s">
        <v>94</v>
      </c>
      <c r="C3276" t="s">
        <v>1648</v>
      </c>
      <c r="D3276">
        <v>719540</v>
      </c>
      <c r="E3276" t="s">
        <v>10</v>
      </c>
      <c r="F3276">
        <v>54.678060000000002</v>
      </c>
      <c r="G3276">
        <v>-101.67919999999999</v>
      </c>
      <c r="H3276">
        <v>-6</v>
      </c>
      <c r="I3276">
        <v>303.89999999999998</v>
      </c>
      <c r="J3276" t="str">
        <f>HYPERLINK("https://climate.onebuilding.org/WMO_Region_4_North_and_Central_America/CAN_Canada/MB_Manitoba/CAN_MB_Flin.Flon.AP.719540_TMYx.2007-2021.zip")</f>
        <v>https://climate.onebuilding.org/WMO_Region_4_North_and_Central_America/CAN_Canada/MB_Manitoba/CAN_MB_Flin.Flon.AP.719540_TMYx.2007-2021.zip</v>
      </c>
    </row>
    <row r="3277" spans="1:10" x14ac:dyDescent="0.25">
      <c r="A3277" t="s">
        <v>6</v>
      </c>
      <c r="B3277" t="s">
        <v>94</v>
      </c>
      <c r="C3277" t="s">
        <v>1648</v>
      </c>
      <c r="D3277">
        <v>719540</v>
      </c>
      <c r="E3277" t="s">
        <v>10</v>
      </c>
      <c r="F3277">
        <v>54.678060000000002</v>
      </c>
      <c r="G3277">
        <v>-101.67919999999999</v>
      </c>
      <c r="H3277">
        <v>-6</v>
      </c>
      <c r="I3277">
        <v>303.89999999999998</v>
      </c>
      <c r="J3277" t="str">
        <f>HYPERLINK("https://climate.onebuilding.org/WMO_Region_4_North_and_Central_America/CAN_Canada/MB_Manitoba/CAN_MB_Flin.Flon.AP.719540_TMYx.2009-2023.zip")</f>
        <v>https://climate.onebuilding.org/WMO_Region_4_North_and_Central_America/CAN_Canada/MB_Manitoba/CAN_MB_Flin.Flon.AP.719540_TMYx.2009-2023.zip</v>
      </c>
    </row>
    <row r="3278" spans="1:10" x14ac:dyDescent="0.25">
      <c r="A3278" t="s">
        <v>6</v>
      </c>
      <c r="B3278" t="s">
        <v>94</v>
      </c>
      <c r="C3278" t="s">
        <v>1648</v>
      </c>
      <c r="D3278">
        <v>719540</v>
      </c>
      <c r="E3278" t="s">
        <v>10</v>
      </c>
      <c r="F3278">
        <v>54.678060000000002</v>
      </c>
      <c r="G3278">
        <v>-101.67919999999999</v>
      </c>
      <c r="H3278">
        <v>-6</v>
      </c>
      <c r="I3278">
        <v>303.89999999999998</v>
      </c>
      <c r="J3278" t="str">
        <f>HYPERLINK("https://climate.onebuilding.org/WMO_Region_4_North_and_Central_America/CAN_Canada/MB_Manitoba/CAN_MB_Flin.Flon.AP.719540_TMYx.zip")</f>
        <v>https://climate.onebuilding.org/WMO_Region_4_North_and_Central_America/CAN_Canada/MB_Manitoba/CAN_MB_Flin.Flon.AP.719540_TMYx.zip</v>
      </c>
    </row>
    <row r="3279" spans="1:10" x14ac:dyDescent="0.25">
      <c r="A3279" t="s">
        <v>6</v>
      </c>
      <c r="B3279" t="s">
        <v>55</v>
      </c>
      <c r="C3279" t="s">
        <v>1650</v>
      </c>
      <c r="D3279">
        <v>719550</v>
      </c>
      <c r="E3279" t="s">
        <v>10</v>
      </c>
      <c r="F3279">
        <v>55.933</v>
      </c>
      <c r="G3279">
        <v>-129.983</v>
      </c>
      <c r="H3279">
        <v>-8</v>
      </c>
      <c r="I3279">
        <v>7.3</v>
      </c>
      <c r="J3279" t="str">
        <f>HYPERLINK("https://climate.onebuilding.org/WMO_Region_4_North_and_Central_America/CAN_Canada/BC_British_Columbia/CAN_BC_Stewart.AP.719550_TMYx.2007-2021.zip")</f>
        <v>https://climate.onebuilding.org/WMO_Region_4_North_and_Central_America/CAN_Canada/BC_British_Columbia/CAN_BC_Stewart.AP.719550_TMYx.2007-2021.zip</v>
      </c>
    </row>
    <row r="3280" spans="1:10" x14ac:dyDescent="0.25">
      <c r="A3280" t="s">
        <v>6</v>
      </c>
      <c r="B3280" t="s">
        <v>55</v>
      </c>
      <c r="C3280" t="s">
        <v>1650</v>
      </c>
      <c r="D3280">
        <v>719550</v>
      </c>
      <c r="E3280" t="s">
        <v>10</v>
      </c>
      <c r="F3280">
        <v>55.933</v>
      </c>
      <c r="G3280">
        <v>-129.983</v>
      </c>
      <c r="H3280">
        <v>-8</v>
      </c>
      <c r="I3280">
        <v>7.3</v>
      </c>
      <c r="J3280" t="str">
        <f>HYPERLINK("https://climate.onebuilding.org/WMO_Region_4_North_and_Central_America/CAN_Canada/BC_British_Columbia/CAN_BC_Stewart.AP.719550_TMYx.2009-2023.zip")</f>
        <v>https://climate.onebuilding.org/WMO_Region_4_North_and_Central_America/CAN_Canada/BC_British_Columbia/CAN_BC_Stewart.AP.719550_TMYx.2009-2023.zip</v>
      </c>
    </row>
    <row r="3281" spans="1:10" x14ac:dyDescent="0.25">
      <c r="A3281" t="s">
        <v>6</v>
      </c>
      <c r="B3281" t="s">
        <v>55</v>
      </c>
      <c r="C3281" t="s">
        <v>1650</v>
      </c>
      <c r="D3281">
        <v>719550</v>
      </c>
      <c r="E3281" t="s">
        <v>10</v>
      </c>
      <c r="F3281">
        <v>55.933</v>
      </c>
      <c r="G3281">
        <v>-129.983</v>
      </c>
      <c r="H3281">
        <v>-8</v>
      </c>
      <c r="I3281">
        <v>7.3</v>
      </c>
      <c r="J3281" t="str">
        <f>HYPERLINK("https://climate.onebuilding.org/WMO_Region_4_North_and_Central_America/CAN_Canada/BC_British_Columbia/CAN_BC_Stewart.AP.719550_TMYx.zip")</f>
        <v>https://climate.onebuilding.org/WMO_Region_4_North_and_Central_America/CAN_Canada/BC_British_Columbia/CAN_BC_Stewart.AP.719550_TMYx.zip</v>
      </c>
    </row>
    <row r="3282" spans="1:10" x14ac:dyDescent="0.25">
      <c r="A3282" t="s">
        <v>6</v>
      </c>
      <c r="B3282" t="s">
        <v>130</v>
      </c>
      <c r="C3282" t="s">
        <v>1651</v>
      </c>
      <c r="D3282">
        <v>719560</v>
      </c>
      <c r="E3282" t="s">
        <v>1652</v>
      </c>
      <c r="F3282">
        <v>45.883299999999998</v>
      </c>
      <c r="G3282">
        <v>-82.566699999999997</v>
      </c>
      <c r="H3282">
        <v>-5</v>
      </c>
      <c r="I3282">
        <v>188.6</v>
      </c>
      <c r="J3282" t="str">
        <f>HYPERLINK("https://climate.onebuilding.org/WMO_Region_4_North_and_Central_America/CAN_Canada/ON_Ontario/CAN_ON_Gore.Bay-Manitoulin.AP.719560_TMYx.2004-2018.zip")</f>
        <v>https://climate.onebuilding.org/WMO_Region_4_North_and_Central_America/CAN_Canada/ON_Ontario/CAN_ON_Gore.Bay-Manitoulin.AP.719560_TMYx.2004-2018.zip</v>
      </c>
    </row>
    <row r="3283" spans="1:10" x14ac:dyDescent="0.25">
      <c r="A3283" t="s">
        <v>6</v>
      </c>
      <c r="B3283" t="s">
        <v>130</v>
      </c>
      <c r="C3283" t="s">
        <v>1651</v>
      </c>
      <c r="D3283">
        <v>719560</v>
      </c>
      <c r="E3283" t="s">
        <v>10</v>
      </c>
      <c r="F3283">
        <v>45.884599999999999</v>
      </c>
      <c r="G3283">
        <v>-82.574299999999994</v>
      </c>
      <c r="H3283">
        <v>-5</v>
      </c>
      <c r="I3283">
        <v>188.6</v>
      </c>
      <c r="J3283" t="str">
        <f>HYPERLINK("https://climate.onebuilding.org/WMO_Region_4_North_and_Central_America/CAN_Canada/ON_Ontario/CAN_ON_Gore.Bay-Manitoulin.AP.719560_TMYx.2007-2021.zip")</f>
        <v>https://climate.onebuilding.org/WMO_Region_4_North_and_Central_America/CAN_Canada/ON_Ontario/CAN_ON_Gore.Bay-Manitoulin.AP.719560_TMYx.2007-2021.zip</v>
      </c>
    </row>
    <row r="3284" spans="1:10" x14ac:dyDescent="0.25">
      <c r="A3284" t="s">
        <v>6</v>
      </c>
      <c r="B3284" t="s">
        <v>130</v>
      </c>
      <c r="C3284" t="s">
        <v>1651</v>
      </c>
      <c r="D3284">
        <v>719560</v>
      </c>
      <c r="E3284" t="s">
        <v>10</v>
      </c>
      <c r="F3284">
        <v>45.884599999999999</v>
      </c>
      <c r="G3284">
        <v>-82.574299999999994</v>
      </c>
      <c r="H3284">
        <v>-5</v>
      </c>
      <c r="I3284">
        <v>188.6</v>
      </c>
      <c r="J3284" t="str">
        <f>HYPERLINK("https://climate.onebuilding.org/WMO_Region_4_North_and_Central_America/CAN_Canada/ON_Ontario/CAN_ON_Gore.Bay-Manitoulin.AP.719560_TMYx.2009-2023.zip")</f>
        <v>https://climate.onebuilding.org/WMO_Region_4_North_and_Central_America/CAN_Canada/ON_Ontario/CAN_ON_Gore.Bay-Manitoulin.AP.719560_TMYx.2009-2023.zip</v>
      </c>
    </row>
    <row r="3285" spans="1:10" x14ac:dyDescent="0.25">
      <c r="A3285" t="s">
        <v>6</v>
      </c>
      <c r="B3285" t="s">
        <v>130</v>
      </c>
      <c r="C3285" t="s">
        <v>1651</v>
      </c>
      <c r="D3285">
        <v>719560</v>
      </c>
      <c r="E3285" t="s">
        <v>10</v>
      </c>
      <c r="F3285">
        <v>45.884599999999999</v>
      </c>
      <c r="G3285">
        <v>-82.574299999999994</v>
      </c>
      <c r="H3285">
        <v>-5</v>
      </c>
      <c r="I3285">
        <v>188.6</v>
      </c>
      <c r="J3285" t="str">
        <f>HYPERLINK("https://climate.onebuilding.org/WMO_Region_4_North_and_Central_America/CAN_Canada/ON_Ontario/CAN_ON_Gore.Bay-Manitoulin.AP.719560_TMYx.zip")</f>
        <v>https://climate.onebuilding.org/WMO_Region_4_North_and_Central_America/CAN_Canada/ON_Ontario/CAN_ON_Gore.Bay-Manitoulin.AP.719560_TMYx.zip</v>
      </c>
    </row>
    <row r="3286" spans="1:10" x14ac:dyDescent="0.25">
      <c r="A3286" t="s">
        <v>6</v>
      </c>
      <c r="B3286" t="s">
        <v>48</v>
      </c>
      <c r="C3286" t="s">
        <v>1653</v>
      </c>
      <c r="D3286">
        <v>719570</v>
      </c>
      <c r="E3286" t="s">
        <v>1654</v>
      </c>
      <c r="F3286">
        <v>68.3</v>
      </c>
      <c r="G3286">
        <v>-133.48330000000001</v>
      </c>
      <c r="H3286">
        <v>-7</v>
      </c>
      <c r="I3286">
        <v>67.7</v>
      </c>
      <c r="J3286" t="str">
        <f>HYPERLINK("https://climate.onebuilding.org/WMO_Region_4_North_and_Central_America/CAN_Canada/NT_Northwest_Territories/CAN_NT_Inuvik-Zubko.AP.719570_TMYx.2004-2018.zip")</f>
        <v>https://climate.onebuilding.org/WMO_Region_4_North_and_Central_America/CAN_Canada/NT_Northwest_Territories/CAN_NT_Inuvik-Zubko.AP.719570_TMYx.2004-2018.zip</v>
      </c>
    </row>
    <row r="3287" spans="1:10" x14ac:dyDescent="0.25">
      <c r="A3287" t="s">
        <v>6</v>
      </c>
      <c r="B3287" t="s">
        <v>48</v>
      </c>
      <c r="C3287" t="s">
        <v>1653</v>
      </c>
      <c r="D3287">
        <v>719570</v>
      </c>
      <c r="E3287" t="s">
        <v>10</v>
      </c>
      <c r="F3287">
        <v>68.304000000000002</v>
      </c>
      <c r="G3287">
        <v>-133.48099999999999</v>
      </c>
      <c r="H3287">
        <v>-7</v>
      </c>
      <c r="I3287">
        <v>67.7</v>
      </c>
      <c r="J3287" t="str">
        <f>HYPERLINK("https://climate.onebuilding.org/WMO_Region_4_North_and_Central_America/CAN_Canada/NT_Northwest_Territories/CAN_NT_Inuvik-Zubko.AP.719570_TMYx.2007-2021.zip")</f>
        <v>https://climate.onebuilding.org/WMO_Region_4_North_and_Central_America/CAN_Canada/NT_Northwest_Territories/CAN_NT_Inuvik-Zubko.AP.719570_TMYx.2007-2021.zip</v>
      </c>
    </row>
    <row r="3288" spans="1:10" x14ac:dyDescent="0.25">
      <c r="A3288" t="s">
        <v>6</v>
      </c>
      <c r="B3288" t="s">
        <v>48</v>
      </c>
      <c r="C3288" t="s">
        <v>1653</v>
      </c>
      <c r="D3288">
        <v>719570</v>
      </c>
      <c r="E3288" t="s">
        <v>10</v>
      </c>
      <c r="F3288">
        <v>68.304000000000002</v>
      </c>
      <c r="G3288">
        <v>-133.48099999999999</v>
      </c>
      <c r="H3288">
        <v>-7</v>
      </c>
      <c r="I3288">
        <v>67.7</v>
      </c>
      <c r="J3288" t="str">
        <f>HYPERLINK("https://climate.onebuilding.org/WMO_Region_4_North_and_Central_America/CAN_Canada/NT_Northwest_Territories/CAN_NT_Inuvik-Zubko.AP.719570_TMYx.2009-2023.zip")</f>
        <v>https://climate.onebuilding.org/WMO_Region_4_North_and_Central_America/CAN_Canada/NT_Northwest_Territories/CAN_NT_Inuvik-Zubko.AP.719570_TMYx.2009-2023.zip</v>
      </c>
    </row>
    <row r="3289" spans="1:10" x14ac:dyDescent="0.25">
      <c r="A3289" t="s">
        <v>6</v>
      </c>
      <c r="B3289" t="s">
        <v>48</v>
      </c>
      <c r="C3289" t="s">
        <v>1653</v>
      </c>
      <c r="D3289">
        <v>719570</v>
      </c>
      <c r="E3289" t="s">
        <v>10</v>
      </c>
      <c r="F3289">
        <v>68.304000000000002</v>
      </c>
      <c r="G3289">
        <v>-133.48099999999999</v>
      </c>
      <c r="H3289">
        <v>-7</v>
      </c>
      <c r="I3289">
        <v>67.7</v>
      </c>
      <c r="J3289" t="str">
        <f>HYPERLINK("https://climate.onebuilding.org/WMO_Region_4_North_and_Central_America/CAN_Canada/NT_Northwest_Territories/CAN_NT_Inuvik-Zubko.AP.719570_TMYx.zip")</f>
        <v>https://climate.onebuilding.org/WMO_Region_4_North_and_Central_America/CAN_Canada/NT_Northwest_Territories/CAN_NT_Inuvik-Zubko.AP.719570_TMYx.zip</v>
      </c>
    </row>
    <row r="3290" spans="1:10" x14ac:dyDescent="0.25">
      <c r="A3290" t="s">
        <v>6</v>
      </c>
      <c r="B3290" t="s">
        <v>48</v>
      </c>
      <c r="C3290" t="s">
        <v>1655</v>
      </c>
      <c r="D3290">
        <v>719574</v>
      </c>
      <c r="E3290" t="s">
        <v>10</v>
      </c>
      <c r="F3290">
        <v>67.408000000000001</v>
      </c>
      <c r="G3290">
        <v>-134.86099999999999</v>
      </c>
      <c r="H3290">
        <v>-7</v>
      </c>
      <c r="I3290">
        <v>35.4</v>
      </c>
      <c r="J3290" t="str">
        <f>HYPERLINK("https://climate.onebuilding.org/WMO_Region_4_North_and_Central_America/CAN_Canada/NT_Northwest_Territories/CAN_NT_Fort.McPherson.AP.719574_TMYx.2007-2021.zip")</f>
        <v>https://climate.onebuilding.org/WMO_Region_4_North_and_Central_America/CAN_Canada/NT_Northwest_Territories/CAN_NT_Fort.McPherson.AP.719574_TMYx.2007-2021.zip</v>
      </c>
    </row>
    <row r="3291" spans="1:10" x14ac:dyDescent="0.25">
      <c r="A3291" t="s">
        <v>6</v>
      </c>
      <c r="B3291" t="s">
        <v>48</v>
      </c>
      <c r="C3291" t="s">
        <v>1655</v>
      </c>
      <c r="D3291">
        <v>719574</v>
      </c>
      <c r="E3291" t="s">
        <v>10</v>
      </c>
      <c r="F3291">
        <v>67.408000000000001</v>
      </c>
      <c r="G3291">
        <v>-134.86099999999999</v>
      </c>
      <c r="H3291">
        <v>-7</v>
      </c>
      <c r="I3291">
        <v>35.4</v>
      </c>
      <c r="J3291" t="str">
        <f>HYPERLINK("https://climate.onebuilding.org/WMO_Region_4_North_and_Central_America/CAN_Canada/NT_Northwest_Territories/CAN_NT_Fort.McPherson.AP.719574_TMYx.2009-2023.zip")</f>
        <v>https://climate.onebuilding.org/WMO_Region_4_North_and_Central_America/CAN_Canada/NT_Northwest_Territories/CAN_NT_Fort.McPherson.AP.719574_TMYx.2009-2023.zip</v>
      </c>
    </row>
    <row r="3292" spans="1:10" x14ac:dyDescent="0.25">
      <c r="A3292" t="s">
        <v>6</v>
      </c>
      <c r="B3292" t="s">
        <v>48</v>
      </c>
      <c r="C3292" t="s">
        <v>1655</v>
      </c>
      <c r="D3292">
        <v>719574</v>
      </c>
      <c r="E3292" t="s">
        <v>10</v>
      </c>
      <c r="F3292">
        <v>67.408000000000001</v>
      </c>
      <c r="G3292">
        <v>-134.86099999999999</v>
      </c>
      <c r="H3292">
        <v>-7</v>
      </c>
      <c r="I3292">
        <v>35.4</v>
      </c>
      <c r="J3292" t="str">
        <f>HYPERLINK("https://climate.onebuilding.org/WMO_Region_4_North_and_Central_America/CAN_Canada/NT_Northwest_Territories/CAN_NT_Fort.McPherson.AP.719574_TMYx.zip")</f>
        <v>https://climate.onebuilding.org/WMO_Region_4_North_and_Central_America/CAN_Canada/NT_Northwest_Territories/CAN_NT_Fort.McPherson.AP.719574_TMYx.zip</v>
      </c>
    </row>
    <row r="3293" spans="1:10" x14ac:dyDescent="0.25">
      <c r="A3293" t="s">
        <v>6</v>
      </c>
      <c r="B3293" t="s">
        <v>48</v>
      </c>
      <c r="C3293" t="s">
        <v>1656</v>
      </c>
      <c r="D3293">
        <v>719575</v>
      </c>
      <c r="E3293" t="s">
        <v>10</v>
      </c>
      <c r="F3293">
        <v>68.222999999999999</v>
      </c>
      <c r="G3293">
        <v>-135.006</v>
      </c>
      <c r="H3293">
        <v>-7</v>
      </c>
      <c r="I3293">
        <v>6.4</v>
      </c>
      <c r="J3293" t="str">
        <f>HYPERLINK("https://climate.onebuilding.org/WMO_Region_4_North_and_Central_America/CAN_Canada/NT_Northwest_Territories/CAN_NT_Aklavik.AP.719575_TMYx.2007-2021.zip")</f>
        <v>https://climate.onebuilding.org/WMO_Region_4_North_and_Central_America/CAN_Canada/NT_Northwest_Territories/CAN_NT_Aklavik.AP.719575_TMYx.2007-2021.zip</v>
      </c>
    </row>
    <row r="3294" spans="1:10" x14ac:dyDescent="0.25">
      <c r="A3294" t="s">
        <v>6</v>
      </c>
      <c r="B3294" t="s">
        <v>48</v>
      </c>
      <c r="C3294" t="s">
        <v>1656</v>
      </c>
      <c r="D3294">
        <v>719575</v>
      </c>
      <c r="E3294" t="s">
        <v>10</v>
      </c>
      <c r="F3294">
        <v>68.222999999999999</v>
      </c>
      <c r="G3294">
        <v>-135.006</v>
      </c>
      <c r="H3294">
        <v>-7</v>
      </c>
      <c r="I3294">
        <v>6.4</v>
      </c>
      <c r="J3294" t="str">
        <f>HYPERLINK("https://climate.onebuilding.org/WMO_Region_4_North_and_Central_America/CAN_Canada/NT_Northwest_Territories/CAN_NT_Aklavik.AP.719575_TMYx.2009-2023.zip")</f>
        <v>https://climate.onebuilding.org/WMO_Region_4_North_and_Central_America/CAN_Canada/NT_Northwest_Territories/CAN_NT_Aklavik.AP.719575_TMYx.2009-2023.zip</v>
      </c>
    </row>
    <row r="3295" spans="1:10" x14ac:dyDescent="0.25">
      <c r="A3295" t="s">
        <v>6</v>
      </c>
      <c r="B3295" t="s">
        <v>48</v>
      </c>
      <c r="C3295" t="s">
        <v>1656</v>
      </c>
      <c r="D3295">
        <v>719575</v>
      </c>
      <c r="E3295" t="s">
        <v>10</v>
      </c>
      <c r="F3295">
        <v>68.222999999999999</v>
      </c>
      <c r="G3295">
        <v>-135.006</v>
      </c>
      <c r="H3295">
        <v>-7</v>
      </c>
      <c r="I3295">
        <v>6.4</v>
      </c>
      <c r="J3295" t="str">
        <f>HYPERLINK("https://climate.onebuilding.org/WMO_Region_4_North_and_Central_America/CAN_Canada/NT_Northwest_Territories/CAN_NT_Aklavik.AP.719575_TMYx.zip")</f>
        <v>https://climate.onebuilding.org/WMO_Region_4_North_and_Central_America/CAN_Canada/NT_Northwest_Territories/CAN_NT_Aklavik.AP.719575_TMYx.zip</v>
      </c>
    </row>
    <row r="3296" spans="1:10" x14ac:dyDescent="0.25">
      <c r="A3296" t="s">
        <v>6</v>
      </c>
      <c r="B3296" t="s">
        <v>48</v>
      </c>
      <c r="C3296" t="s">
        <v>1657</v>
      </c>
      <c r="D3296">
        <v>719576</v>
      </c>
      <c r="E3296" t="s">
        <v>10</v>
      </c>
      <c r="F3296">
        <v>64.910970000000006</v>
      </c>
      <c r="G3296">
        <v>-125.57170000000001</v>
      </c>
      <c r="H3296">
        <v>-8</v>
      </c>
      <c r="I3296">
        <v>86</v>
      </c>
      <c r="J3296" t="str">
        <f>HYPERLINK("https://climate.onebuilding.org/WMO_Region_4_North_and_Central_America/CAN_Canada/NT_Northwest_Territories/CAN_NT_Tulita.AP.719576_TMYx.2007-2021.zip")</f>
        <v>https://climate.onebuilding.org/WMO_Region_4_North_and_Central_America/CAN_Canada/NT_Northwest_Territories/CAN_NT_Tulita.AP.719576_TMYx.2007-2021.zip</v>
      </c>
    </row>
    <row r="3297" spans="1:10" x14ac:dyDescent="0.25">
      <c r="A3297" t="s">
        <v>6</v>
      </c>
      <c r="B3297" t="s">
        <v>48</v>
      </c>
      <c r="C3297" t="s">
        <v>1657</v>
      </c>
      <c r="D3297">
        <v>719576</v>
      </c>
      <c r="E3297" t="s">
        <v>10</v>
      </c>
      <c r="F3297">
        <v>64.910970000000006</v>
      </c>
      <c r="G3297">
        <v>-125.57170000000001</v>
      </c>
      <c r="H3297">
        <v>-8</v>
      </c>
      <c r="I3297">
        <v>86</v>
      </c>
      <c r="J3297" t="str">
        <f>HYPERLINK("https://climate.onebuilding.org/WMO_Region_4_North_and_Central_America/CAN_Canada/NT_Northwest_Territories/CAN_NT_Tulita.AP.719576_TMYx.2009-2023.zip")</f>
        <v>https://climate.onebuilding.org/WMO_Region_4_North_and_Central_America/CAN_Canada/NT_Northwest_Territories/CAN_NT_Tulita.AP.719576_TMYx.2009-2023.zip</v>
      </c>
    </row>
    <row r="3298" spans="1:10" x14ac:dyDescent="0.25">
      <c r="A3298" t="s">
        <v>6</v>
      </c>
      <c r="B3298" t="s">
        <v>48</v>
      </c>
      <c r="C3298" t="s">
        <v>1657</v>
      </c>
      <c r="D3298">
        <v>719576</v>
      </c>
      <c r="E3298" t="s">
        <v>10</v>
      </c>
      <c r="F3298">
        <v>64.910970000000006</v>
      </c>
      <c r="G3298">
        <v>-125.57170000000001</v>
      </c>
      <c r="H3298">
        <v>-8</v>
      </c>
      <c r="I3298">
        <v>86</v>
      </c>
      <c r="J3298" t="str">
        <f>HYPERLINK("https://climate.onebuilding.org/WMO_Region_4_North_and_Central_America/CAN_Canada/NT_Northwest_Territories/CAN_NT_Tulita.AP.719576_TMYx.zip")</f>
        <v>https://climate.onebuilding.org/WMO_Region_4_North_and_Central_America/CAN_Canada/NT_Northwest_Territories/CAN_NT_Tulita.AP.719576_TMYx.zip</v>
      </c>
    </row>
    <row r="3299" spans="1:10" x14ac:dyDescent="0.25">
      <c r="A3299" t="s">
        <v>6</v>
      </c>
      <c r="B3299" t="s">
        <v>68</v>
      </c>
      <c r="C3299" t="s">
        <v>1658</v>
      </c>
      <c r="D3299">
        <v>719590</v>
      </c>
      <c r="E3299" t="s">
        <v>1659</v>
      </c>
      <c r="F3299">
        <v>46.633000000000003</v>
      </c>
      <c r="G3299">
        <v>-60.933</v>
      </c>
      <c r="H3299">
        <v>-4</v>
      </c>
      <c r="I3299">
        <v>44</v>
      </c>
      <c r="J3299" t="str">
        <f>HYPERLINK("https://climate.onebuilding.org/WMO_Region_4_North_and_Central_America/CAN_Canada/NS_Nova_Scotia/CAN_NS_Cheticamp.CS.719590_TMYx.2004-2018.zip")</f>
        <v>https://climate.onebuilding.org/WMO_Region_4_North_and_Central_America/CAN_Canada/NS_Nova_Scotia/CAN_NS_Cheticamp.CS.719590_TMYx.2004-2018.zip</v>
      </c>
    </row>
    <row r="3300" spans="1:10" x14ac:dyDescent="0.25">
      <c r="A3300" t="s">
        <v>6</v>
      </c>
      <c r="B3300" t="s">
        <v>68</v>
      </c>
      <c r="C3300" t="s">
        <v>1658</v>
      </c>
      <c r="D3300">
        <v>719590</v>
      </c>
      <c r="E3300" t="s">
        <v>10</v>
      </c>
      <c r="F3300">
        <v>46.645000000000003</v>
      </c>
      <c r="G3300">
        <v>-60.947220000000002</v>
      </c>
      <c r="H3300">
        <v>-4</v>
      </c>
      <c r="I3300">
        <v>44</v>
      </c>
      <c r="J3300" t="str">
        <f>HYPERLINK("https://climate.onebuilding.org/WMO_Region_4_North_and_Central_America/CAN_Canada/NS_Nova_Scotia/CAN_NS_Cheticamp.CS.719590_TMYx.2007-2021.zip")</f>
        <v>https://climate.onebuilding.org/WMO_Region_4_North_and_Central_America/CAN_Canada/NS_Nova_Scotia/CAN_NS_Cheticamp.CS.719590_TMYx.2007-2021.zip</v>
      </c>
    </row>
    <row r="3301" spans="1:10" x14ac:dyDescent="0.25">
      <c r="A3301" t="s">
        <v>6</v>
      </c>
      <c r="B3301" t="s">
        <v>68</v>
      </c>
      <c r="C3301" t="s">
        <v>1658</v>
      </c>
      <c r="D3301">
        <v>719590</v>
      </c>
      <c r="E3301" t="s">
        <v>10</v>
      </c>
      <c r="F3301">
        <v>46.645000000000003</v>
      </c>
      <c r="G3301">
        <v>-60.947220000000002</v>
      </c>
      <c r="H3301">
        <v>-4</v>
      </c>
      <c r="I3301">
        <v>44</v>
      </c>
      <c r="J3301" t="str">
        <f>HYPERLINK("https://climate.onebuilding.org/WMO_Region_4_North_and_Central_America/CAN_Canada/NS_Nova_Scotia/CAN_NS_Cheticamp.CS.719590_TMYx.2009-2023.zip")</f>
        <v>https://climate.onebuilding.org/WMO_Region_4_North_and_Central_America/CAN_Canada/NS_Nova_Scotia/CAN_NS_Cheticamp.CS.719590_TMYx.2009-2023.zip</v>
      </c>
    </row>
    <row r="3302" spans="1:10" x14ac:dyDescent="0.25">
      <c r="A3302" t="s">
        <v>6</v>
      </c>
      <c r="B3302" t="s">
        <v>68</v>
      </c>
      <c r="C3302" t="s">
        <v>1658</v>
      </c>
      <c r="D3302">
        <v>719590</v>
      </c>
      <c r="E3302" t="s">
        <v>10</v>
      </c>
      <c r="F3302">
        <v>46.645000000000003</v>
      </c>
      <c r="G3302">
        <v>-60.947220000000002</v>
      </c>
      <c r="H3302">
        <v>-4</v>
      </c>
      <c r="I3302">
        <v>44</v>
      </c>
      <c r="J3302" t="str">
        <f>HYPERLINK("https://climate.onebuilding.org/WMO_Region_4_North_and_Central_America/CAN_Canada/NS_Nova_Scotia/CAN_NS_Cheticamp.CS.719590_TMYx.zip")</f>
        <v>https://climate.onebuilding.org/WMO_Region_4_North_and_Central_America/CAN_Canada/NS_Nova_Scotia/CAN_NS_Cheticamp.CS.719590_TMYx.zip</v>
      </c>
    </row>
    <row r="3303" spans="1:10" x14ac:dyDescent="0.25">
      <c r="A3303" t="s">
        <v>6</v>
      </c>
      <c r="B3303" t="s">
        <v>48</v>
      </c>
      <c r="C3303" t="s">
        <v>1660</v>
      </c>
      <c r="D3303">
        <v>719600</v>
      </c>
      <c r="E3303" t="s">
        <v>1661</v>
      </c>
      <c r="F3303">
        <v>69.604200000000006</v>
      </c>
      <c r="G3303">
        <v>-130.91059999999999</v>
      </c>
      <c r="H3303">
        <v>-7</v>
      </c>
      <c r="I3303">
        <v>101.9</v>
      </c>
      <c r="J3303" t="str">
        <f>HYPERLINK("https://climate.onebuilding.org/WMO_Region_4_North_and_Central_America/CAN_Canada/NT_Northwest_Territories/CAN_NT_Liverpool.Bay.719600_TMYx.2004-2018.zip")</f>
        <v>https://climate.onebuilding.org/WMO_Region_4_North_and_Central_America/CAN_Canada/NT_Northwest_Territories/CAN_NT_Liverpool.Bay.719600_TMYx.2004-2018.zip</v>
      </c>
    </row>
    <row r="3304" spans="1:10" x14ac:dyDescent="0.25">
      <c r="A3304" t="s">
        <v>6</v>
      </c>
      <c r="B3304" t="s">
        <v>48</v>
      </c>
      <c r="C3304" t="s">
        <v>1660</v>
      </c>
      <c r="D3304">
        <v>719600</v>
      </c>
      <c r="E3304" t="s">
        <v>10</v>
      </c>
      <c r="F3304">
        <v>69.603999999999999</v>
      </c>
      <c r="G3304">
        <v>-130.89400000000001</v>
      </c>
      <c r="H3304">
        <v>-7</v>
      </c>
      <c r="I3304">
        <v>101.9</v>
      </c>
      <c r="J3304" t="str">
        <f>HYPERLINK("https://climate.onebuilding.org/WMO_Region_4_North_and_Central_America/CAN_Canada/NT_Northwest_Territories/CAN_NT_Liverpool.Bay.719600_TMYx.2007-2021.zip")</f>
        <v>https://climate.onebuilding.org/WMO_Region_4_North_and_Central_America/CAN_Canada/NT_Northwest_Territories/CAN_NT_Liverpool.Bay.719600_TMYx.2007-2021.zip</v>
      </c>
    </row>
    <row r="3305" spans="1:10" x14ac:dyDescent="0.25">
      <c r="A3305" t="s">
        <v>6</v>
      </c>
      <c r="B3305" t="s">
        <v>48</v>
      </c>
      <c r="C3305" t="s">
        <v>1660</v>
      </c>
      <c r="D3305">
        <v>719600</v>
      </c>
      <c r="E3305" t="s">
        <v>10</v>
      </c>
      <c r="F3305">
        <v>69.603999999999999</v>
      </c>
      <c r="G3305">
        <v>-130.89400000000001</v>
      </c>
      <c r="H3305">
        <v>-7</v>
      </c>
      <c r="I3305">
        <v>101.9</v>
      </c>
      <c r="J3305" t="str">
        <f>HYPERLINK("https://climate.onebuilding.org/WMO_Region_4_North_and_Central_America/CAN_Canada/NT_Northwest_Territories/CAN_NT_Liverpool.Bay.719600_TMYx.2009-2023.zip")</f>
        <v>https://climate.onebuilding.org/WMO_Region_4_North_and_Central_America/CAN_Canada/NT_Northwest_Territories/CAN_NT_Liverpool.Bay.719600_TMYx.2009-2023.zip</v>
      </c>
    </row>
    <row r="3306" spans="1:10" x14ac:dyDescent="0.25">
      <c r="A3306" t="s">
        <v>6</v>
      </c>
      <c r="B3306" t="s">
        <v>48</v>
      </c>
      <c r="C3306" t="s">
        <v>1660</v>
      </c>
      <c r="D3306">
        <v>719600</v>
      </c>
      <c r="E3306" t="s">
        <v>10</v>
      </c>
      <c r="F3306">
        <v>69.603999999999999</v>
      </c>
      <c r="G3306">
        <v>-130.89400000000001</v>
      </c>
      <c r="H3306">
        <v>-7</v>
      </c>
      <c r="I3306">
        <v>101.9</v>
      </c>
      <c r="J3306" t="str">
        <f>HYPERLINK("https://climate.onebuilding.org/WMO_Region_4_North_and_Central_America/CAN_Canada/NT_Northwest_Territories/CAN_NT_Liverpool.Bay.719600_TMYx.zip")</f>
        <v>https://climate.onebuilding.org/WMO_Region_4_North_and_Central_America/CAN_Canada/NT_Northwest_Territories/CAN_NT_Liverpool.Bay.719600_TMYx.zip</v>
      </c>
    </row>
    <row r="3307" spans="1:10" x14ac:dyDescent="0.25">
      <c r="A3307" t="s">
        <v>6</v>
      </c>
      <c r="B3307" t="s">
        <v>130</v>
      </c>
      <c r="C3307" t="s">
        <v>1662</v>
      </c>
      <c r="D3307">
        <v>719620</v>
      </c>
      <c r="E3307" t="s">
        <v>1663</v>
      </c>
      <c r="F3307">
        <v>48.6511</v>
      </c>
      <c r="G3307">
        <v>-93.438900000000004</v>
      </c>
      <c r="H3307">
        <v>-6</v>
      </c>
      <c r="I3307">
        <v>342</v>
      </c>
      <c r="J3307" t="str">
        <f>HYPERLINK("https://climate.onebuilding.org/WMO_Region_4_North_and_Central_America/CAN_Canada/ON_Ontario/CAN_ON_Fort.Frances.Muni.AP.RCS.719620_TMYx.2004-2018.zip")</f>
        <v>https://climate.onebuilding.org/WMO_Region_4_North_and_Central_America/CAN_Canada/ON_Ontario/CAN_ON_Fort.Frances.Muni.AP.RCS.719620_TMYx.2004-2018.zip</v>
      </c>
    </row>
    <row r="3308" spans="1:10" x14ac:dyDescent="0.25">
      <c r="A3308" t="s">
        <v>6</v>
      </c>
      <c r="B3308" t="s">
        <v>130</v>
      </c>
      <c r="C3308" t="s">
        <v>1662</v>
      </c>
      <c r="D3308">
        <v>719620</v>
      </c>
      <c r="E3308" t="s">
        <v>10</v>
      </c>
      <c r="F3308">
        <v>48.6511</v>
      </c>
      <c r="G3308">
        <v>-93.438900000000004</v>
      </c>
      <c r="H3308">
        <v>-6</v>
      </c>
      <c r="I3308">
        <v>342</v>
      </c>
      <c r="J3308" t="str">
        <f>HYPERLINK("https://climate.onebuilding.org/WMO_Region_4_North_and_Central_America/CAN_Canada/ON_Ontario/CAN_ON_Fort.Frances.Muni.AP.RCS.719620_TMYx.2007-2021.zip")</f>
        <v>https://climate.onebuilding.org/WMO_Region_4_North_and_Central_America/CAN_Canada/ON_Ontario/CAN_ON_Fort.Frances.Muni.AP.RCS.719620_TMYx.2007-2021.zip</v>
      </c>
    </row>
    <row r="3309" spans="1:10" x14ac:dyDescent="0.25">
      <c r="A3309" t="s">
        <v>6</v>
      </c>
      <c r="B3309" t="s">
        <v>130</v>
      </c>
      <c r="C3309" t="s">
        <v>1662</v>
      </c>
      <c r="D3309">
        <v>719620</v>
      </c>
      <c r="E3309" t="s">
        <v>10</v>
      </c>
      <c r="F3309">
        <v>48.6511</v>
      </c>
      <c r="G3309">
        <v>-93.438900000000004</v>
      </c>
      <c r="H3309">
        <v>-6</v>
      </c>
      <c r="I3309">
        <v>342</v>
      </c>
      <c r="J3309" t="str">
        <f>HYPERLINK("https://climate.onebuilding.org/WMO_Region_4_North_and_Central_America/CAN_Canada/ON_Ontario/CAN_ON_Fort.Frances.Muni.AP.RCS.719620_TMYx.2009-2023.zip")</f>
        <v>https://climate.onebuilding.org/WMO_Region_4_North_and_Central_America/CAN_Canada/ON_Ontario/CAN_ON_Fort.Frances.Muni.AP.RCS.719620_TMYx.2009-2023.zip</v>
      </c>
    </row>
    <row r="3310" spans="1:10" x14ac:dyDescent="0.25">
      <c r="A3310" t="s">
        <v>6</v>
      </c>
      <c r="B3310" t="s">
        <v>130</v>
      </c>
      <c r="C3310" t="s">
        <v>1662</v>
      </c>
      <c r="D3310">
        <v>719620</v>
      </c>
      <c r="E3310" t="s">
        <v>10</v>
      </c>
      <c r="F3310">
        <v>48.6511</v>
      </c>
      <c r="G3310">
        <v>-93.438900000000004</v>
      </c>
      <c r="H3310">
        <v>-6</v>
      </c>
      <c r="I3310">
        <v>342</v>
      </c>
      <c r="J3310" t="str">
        <f>HYPERLINK("https://climate.onebuilding.org/WMO_Region_4_North_and_Central_America/CAN_Canada/ON_Ontario/CAN_ON_Fort.Frances.Muni.AP.RCS.719620_TMYx.zip")</f>
        <v>https://climate.onebuilding.org/WMO_Region_4_North_and_Central_America/CAN_Canada/ON_Ontario/CAN_ON_Fort.Frances.Muni.AP.RCS.719620_TMYx.zip</v>
      </c>
    </row>
    <row r="3311" spans="1:10" x14ac:dyDescent="0.25">
      <c r="A3311" t="s">
        <v>6</v>
      </c>
      <c r="B3311" t="s">
        <v>48</v>
      </c>
      <c r="C3311" t="s">
        <v>1664</v>
      </c>
      <c r="D3311">
        <v>719630</v>
      </c>
      <c r="E3311" t="s">
        <v>1665</v>
      </c>
      <c r="F3311">
        <v>63.6</v>
      </c>
      <c r="G3311">
        <v>-105.13330000000001</v>
      </c>
      <c r="H3311">
        <v>-7</v>
      </c>
      <c r="I3311">
        <v>317.39999999999998</v>
      </c>
      <c r="J3311" t="str">
        <f>HYPERLINK("https://climate.onebuilding.org/WMO_Region_4_North_and_Central_America/CAN_Canada/NT_Northwest_Territories/CAN_NT_Hanbury.River.719630_TMYx.2004-2018.zip")</f>
        <v>https://climate.onebuilding.org/WMO_Region_4_North_and_Central_America/CAN_Canada/NT_Northwest_Territories/CAN_NT_Hanbury.River.719630_TMYx.2004-2018.zip</v>
      </c>
    </row>
    <row r="3312" spans="1:10" x14ac:dyDescent="0.25">
      <c r="A3312" t="s">
        <v>6</v>
      </c>
      <c r="B3312" t="s">
        <v>48</v>
      </c>
      <c r="C3312" t="s">
        <v>1664</v>
      </c>
      <c r="D3312">
        <v>719630</v>
      </c>
      <c r="E3312" t="s">
        <v>10</v>
      </c>
      <c r="F3312">
        <v>63.6</v>
      </c>
      <c r="G3312">
        <v>-105.13330000000001</v>
      </c>
      <c r="H3312">
        <v>-7</v>
      </c>
      <c r="I3312">
        <v>317.39999999999998</v>
      </c>
      <c r="J3312" t="str">
        <f>HYPERLINK("https://climate.onebuilding.org/WMO_Region_4_North_and_Central_America/CAN_Canada/NT_Northwest_Territories/CAN_NT_Hanbury.River.719630_TMYx.2007-2021.zip")</f>
        <v>https://climate.onebuilding.org/WMO_Region_4_North_and_Central_America/CAN_Canada/NT_Northwest_Territories/CAN_NT_Hanbury.River.719630_TMYx.2007-2021.zip</v>
      </c>
    </row>
    <row r="3313" spans="1:10" x14ac:dyDescent="0.25">
      <c r="A3313" t="s">
        <v>6</v>
      </c>
      <c r="B3313" t="s">
        <v>48</v>
      </c>
      <c r="C3313" t="s">
        <v>1664</v>
      </c>
      <c r="D3313">
        <v>719630</v>
      </c>
      <c r="E3313" t="s">
        <v>10</v>
      </c>
      <c r="F3313">
        <v>63.6</v>
      </c>
      <c r="G3313">
        <v>-105.13330000000001</v>
      </c>
      <c r="H3313">
        <v>-7</v>
      </c>
      <c r="I3313">
        <v>317.39999999999998</v>
      </c>
      <c r="J3313" t="str">
        <f>HYPERLINK("https://climate.onebuilding.org/WMO_Region_4_North_and_Central_America/CAN_Canada/NT_Northwest_Territories/CAN_NT_Hanbury.River.719630_TMYx.2009-2023.zip")</f>
        <v>https://climate.onebuilding.org/WMO_Region_4_North_and_Central_America/CAN_Canada/NT_Northwest_Territories/CAN_NT_Hanbury.River.719630_TMYx.2009-2023.zip</v>
      </c>
    </row>
    <row r="3314" spans="1:10" x14ac:dyDescent="0.25">
      <c r="A3314" t="s">
        <v>6</v>
      </c>
      <c r="B3314" t="s">
        <v>48</v>
      </c>
      <c r="C3314" t="s">
        <v>1664</v>
      </c>
      <c r="D3314">
        <v>719630</v>
      </c>
      <c r="E3314" t="s">
        <v>10</v>
      </c>
      <c r="F3314">
        <v>63.6</v>
      </c>
      <c r="G3314">
        <v>-105.13330000000001</v>
      </c>
      <c r="H3314">
        <v>-7</v>
      </c>
      <c r="I3314">
        <v>317.39999999999998</v>
      </c>
      <c r="J3314" t="str">
        <f>HYPERLINK("https://climate.onebuilding.org/WMO_Region_4_North_and_Central_America/CAN_Canada/NT_Northwest_Territories/CAN_NT_Hanbury.River.719630_TMYx.zip")</f>
        <v>https://climate.onebuilding.org/WMO_Region_4_North_and_Central_America/CAN_Canada/NT_Northwest_Territories/CAN_NT_Hanbury.River.719630_TMYx.zip</v>
      </c>
    </row>
    <row r="3315" spans="1:10" x14ac:dyDescent="0.25">
      <c r="A3315" t="s">
        <v>6</v>
      </c>
      <c r="B3315" t="s">
        <v>7</v>
      </c>
      <c r="C3315" t="s">
        <v>1666</v>
      </c>
      <c r="D3315">
        <v>719640</v>
      </c>
      <c r="E3315" t="s">
        <v>1667</v>
      </c>
      <c r="F3315">
        <v>60.709499999999998</v>
      </c>
      <c r="G3315">
        <v>-135.06890000000001</v>
      </c>
      <c r="H3315">
        <v>-8</v>
      </c>
      <c r="I3315">
        <v>706.2</v>
      </c>
      <c r="J3315" t="str">
        <f>HYPERLINK("https://climate.onebuilding.org/WMO_Region_4_North_and_Central_America/CAN_Canada/YT_Yukon/CAN_YT_Whitehorse.Intl.AP.719640_TMYx.2004-2018.zip")</f>
        <v>https://climate.onebuilding.org/WMO_Region_4_North_and_Central_America/CAN_Canada/YT_Yukon/CAN_YT_Whitehorse.Intl.AP.719640_TMYx.2004-2018.zip</v>
      </c>
    </row>
    <row r="3316" spans="1:10" x14ac:dyDescent="0.25">
      <c r="A3316" t="s">
        <v>6</v>
      </c>
      <c r="B3316" t="s">
        <v>7</v>
      </c>
      <c r="C3316" t="s">
        <v>1666</v>
      </c>
      <c r="D3316">
        <v>719640</v>
      </c>
      <c r="E3316" t="s">
        <v>10</v>
      </c>
      <c r="F3316">
        <v>60.709499999999998</v>
      </c>
      <c r="G3316">
        <v>-135.06890000000001</v>
      </c>
      <c r="H3316">
        <v>-8</v>
      </c>
      <c r="I3316">
        <v>706.2</v>
      </c>
      <c r="J3316" t="str">
        <f>HYPERLINK("https://climate.onebuilding.org/WMO_Region_4_North_and_Central_America/CAN_Canada/YT_Yukon/CAN_YT_Whitehorse.Intl.AP.719640_TMYx.2007-2021.zip")</f>
        <v>https://climate.onebuilding.org/WMO_Region_4_North_and_Central_America/CAN_Canada/YT_Yukon/CAN_YT_Whitehorse.Intl.AP.719640_TMYx.2007-2021.zip</v>
      </c>
    </row>
    <row r="3317" spans="1:10" x14ac:dyDescent="0.25">
      <c r="A3317" t="s">
        <v>6</v>
      </c>
      <c r="B3317" t="s">
        <v>7</v>
      </c>
      <c r="C3317" t="s">
        <v>1666</v>
      </c>
      <c r="D3317">
        <v>719640</v>
      </c>
      <c r="E3317" t="s">
        <v>10</v>
      </c>
      <c r="F3317">
        <v>60.709499999999998</v>
      </c>
      <c r="G3317">
        <v>-135.06890000000001</v>
      </c>
      <c r="H3317">
        <v>-8</v>
      </c>
      <c r="I3317">
        <v>706.2</v>
      </c>
      <c r="J3317" t="str">
        <f>HYPERLINK("https://climate.onebuilding.org/WMO_Region_4_North_and_Central_America/CAN_Canada/YT_Yukon/CAN_YT_Whitehorse.Intl.AP.719640_TMYx.2009-2023.zip")</f>
        <v>https://climate.onebuilding.org/WMO_Region_4_North_and_Central_America/CAN_Canada/YT_Yukon/CAN_YT_Whitehorse.Intl.AP.719640_TMYx.2009-2023.zip</v>
      </c>
    </row>
    <row r="3318" spans="1:10" x14ac:dyDescent="0.25">
      <c r="A3318" t="s">
        <v>6</v>
      </c>
      <c r="B3318" t="s">
        <v>7</v>
      </c>
      <c r="C3318" t="s">
        <v>1666</v>
      </c>
      <c r="D3318">
        <v>719640</v>
      </c>
      <c r="E3318" t="s">
        <v>10</v>
      </c>
      <c r="F3318">
        <v>60.709499999999998</v>
      </c>
      <c r="G3318">
        <v>-135.06890000000001</v>
      </c>
      <c r="H3318">
        <v>-8</v>
      </c>
      <c r="I3318">
        <v>706.2</v>
      </c>
      <c r="J3318" t="str">
        <f>HYPERLINK("https://climate.onebuilding.org/WMO_Region_4_North_and_Central_America/CAN_Canada/YT_Yukon/CAN_YT_Whitehorse.Intl.AP.719640_TMYx.zip")</f>
        <v>https://climate.onebuilding.org/WMO_Region_4_North_and_Central_America/CAN_Canada/YT_Yukon/CAN_YT_Whitehorse.Intl.AP.719640_TMYx.zip</v>
      </c>
    </row>
    <row r="3319" spans="1:10" x14ac:dyDescent="0.25">
      <c r="A3319" t="s">
        <v>6</v>
      </c>
      <c r="B3319" t="s">
        <v>7</v>
      </c>
      <c r="C3319" t="s">
        <v>1668</v>
      </c>
      <c r="D3319">
        <v>719645</v>
      </c>
      <c r="E3319" t="s">
        <v>10</v>
      </c>
      <c r="F3319">
        <v>61.966999999999999</v>
      </c>
      <c r="G3319">
        <v>-132.43299999999999</v>
      </c>
      <c r="H3319">
        <v>-8</v>
      </c>
      <c r="I3319">
        <v>705</v>
      </c>
      <c r="J3319" t="str">
        <f>HYPERLINK("https://climate.onebuilding.org/WMO_Region_4_North_and_Central_America/CAN_Canada/YT_Yukon/CAN_YT_Ross.River.AP.719645_TMYx.zip")</f>
        <v>https://climate.onebuilding.org/WMO_Region_4_North_and_Central_America/CAN_Canada/YT_Yukon/CAN_YT_Ross.River.AP.719645_TMYx.zip</v>
      </c>
    </row>
    <row r="3320" spans="1:10" x14ac:dyDescent="0.25">
      <c r="A3320" t="s">
        <v>6</v>
      </c>
      <c r="B3320" t="s">
        <v>7</v>
      </c>
      <c r="C3320" t="s">
        <v>1669</v>
      </c>
      <c r="D3320">
        <v>719650</v>
      </c>
      <c r="E3320" t="s">
        <v>1670</v>
      </c>
      <c r="F3320">
        <v>63.616</v>
      </c>
      <c r="G3320">
        <v>-135.86799999999999</v>
      </c>
      <c r="H3320">
        <v>-8</v>
      </c>
      <c r="I3320">
        <v>503.8</v>
      </c>
      <c r="J3320" t="str">
        <f>HYPERLINK("https://climate.onebuilding.org/WMO_Region_4_North_and_Central_America/CAN_Canada/YT_Yukon/CAN_YT_Mayo.AP.719650_TMYx.2004-2018.zip")</f>
        <v>https://climate.onebuilding.org/WMO_Region_4_North_and_Central_America/CAN_Canada/YT_Yukon/CAN_YT_Mayo.AP.719650_TMYx.2004-2018.zip</v>
      </c>
    </row>
    <row r="3321" spans="1:10" x14ac:dyDescent="0.25">
      <c r="A3321" t="s">
        <v>6</v>
      </c>
      <c r="B3321" t="s">
        <v>7</v>
      </c>
      <c r="C3321" t="s">
        <v>1669</v>
      </c>
      <c r="D3321">
        <v>719650</v>
      </c>
      <c r="E3321" t="s">
        <v>10</v>
      </c>
      <c r="F3321">
        <v>63.616</v>
      </c>
      <c r="G3321">
        <v>-135.86799999999999</v>
      </c>
      <c r="H3321">
        <v>-8</v>
      </c>
      <c r="I3321">
        <v>503.8</v>
      </c>
      <c r="J3321" t="str">
        <f>HYPERLINK("https://climate.onebuilding.org/WMO_Region_4_North_and_Central_America/CAN_Canada/YT_Yukon/CAN_YT_Mayo.AP.719650_TMYx.2007-2021.zip")</f>
        <v>https://climate.onebuilding.org/WMO_Region_4_North_and_Central_America/CAN_Canada/YT_Yukon/CAN_YT_Mayo.AP.719650_TMYx.2007-2021.zip</v>
      </c>
    </row>
    <row r="3322" spans="1:10" x14ac:dyDescent="0.25">
      <c r="A3322" t="s">
        <v>6</v>
      </c>
      <c r="B3322" t="s">
        <v>7</v>
      </c>
      <c r="C3322" t="s">
        <v>1669</v>
      </c>
      <c r="D3322">
        <v>719650</v>
      </c>
      <c r="E3322" t="s">
        <v>10</v>
      </c>
      <c r="F3322">
        <v>63.616</v>
      </c>
      <c r="G3322">
        <v>-135.86799999999999</v>
      </c>
      <c r="H3322">
        <v>-8</v>
      </c>
      <c r="I3322">
        <v>503.8</v>
      </c>
      <c r="J3322" t="str">
        <f>HYPERLINK("https://climate.onebuilding.org/WMO_Region_4_North_and_Central_America/CAN_Canada/YT_Yukon/CAN_YT_Mayo.AP.719650_TMYx.2009-2023.zip")</f>
        <v>https://climate.onebuilding.org/WMO_Region_4_North_and_Central_America/CAN_Canada/YT_Yukon/CAN_YT_Mayo.AP.719650_TMYx.2009-2023.zip</v>
      </c>
    </row>
    <row r="3323" spans="1:10" x14ac:dyDescent="0.25">
      <c r="A3323" t="s">
        <v>6</v>
      </c>
      <c r="B3323" t="s">
        <v>7</v>
      </c>
      <c r="C3323" t="s">
        <v>1669</v>
      </c>
      <c r="D3323">
        <v>719650</v>
      </c>
      <c r="E3323" t="s">
        <v>10</v>
      </c>
      <c r="F3323">
        <v>63.616</v>
      </c>
      <c r="G3323">
        <v>-135.86799999999999</v>
      </c>
      <c r="H3323">
        <v>-8</v>
      </c>
      <c r="I3323">
        <v>503.8</v>
      </c>
      <c r="J3323" t="str">
        <f>HYPERLINK("https://climate.onebuilding.org/WMO_Region_4_North_and_Central_America/CAN_Canada/YT_Yukon/CAN_YT_Mayo.AP.719650_TMYx.zip")</f>
        <v>https://climate.onebuilding.org/WMO_Region_4_North_and_Central_America/CAN_Canada/YT_Yukon/CAN_YT_Mayo.AP.719650_TMYx.zip</v>
      </c>
    </row>
    <row r="3324" spans="1:10" x14ac:dyDescent="0.25">
      <c r="A3324" t="s">
        <v>6</v>
      </c>
      <c r="B3324" t="s">
        <v>7</v>
      </c>
      <c r="C3324" t="s">
        <v>1671</v>
      </c>
      <c r="D3324">
        <v>719660</v>
      </c>
      <c r="E3324" t="s">
        <v>1672</v>
      </c>
      <c r="F3324">
        <v>64.05</v>
      </c>
      <c r="G3324">
        <v>-139.13329999999999</v>
      </c>
      <c r="H3324">
        <v>-8</v>
      </c>
      <c r="I3324">
        <v>370.1</v>
      </c>
      <c r="J3324" t="str">
        <f>HYPERLINK("https://climate.onebuilding.org/WMO_Region_4_North_and_Central_America/CAN_Canada/YT_Yukon/CAN_YT_Dawson.City.AP.719660_TMYx.2004-2018.zip")</f>
        <v>https://climate.onebuilding.org/WMO_Region_4_North_and_Central_America/CAN_Canada/YT_Yukon/CAN_YT_Dawson.City.AP.719660_TMYx.2004-2018.zip</v>
      </c>
    </row>
    <row r="3325" spans="1:10" x14ac:dyDescent="0.25">
      <c r="A3325" t="s">
        <v>6</v>
      </c>
      <c r="B3325" t="s">
        <v>7</v>
      </c>
      <c r="C3325" t="s">
        <v>1671</v>
      </c>
      <c r="D3325">
        <v>719660</v>
      </c>
      <c r="E3325" t="s">
        <v>10</v>
      </c>
      <c r="F3325">
        <v>64.044600000000003</v>
      </c>
      <c r="G3325">
        <v>-139.1268</v>
      </c>
      <c r="H3325">
        <v>-8</v>
      </c>
      <c r="I3325">
        <v>370.1</v>
      </c>
      <c r="J3325" t="str">
        <f>HYPERLINK("https://climate.onebuilding.org/WMO_Region_4_North_and_Central_America/CAN_Canada/YT_Yukon/CAN_YT_Dawson.City.AP.719660_TMYx.2007-2021.zip")</f>
        <v>https://climate.onebuilding.org/WMO_Region_4_North_and_Central_America/CAN_Canada/YT_Yukon/CAN_YT_Dawson.City.AP.719660_TMYx.2007-2021.zip</v>
      </c>
    </row>
    <row r="3326" spans="1:10" x14ac:dyDescent="0.25">
      <c r="A3326" t="s">
        <v>6</v>
      </c>
      <c r="B3326" t="s">
        <v>7</v>
      </c>
      <c r="C3326" t="s">
        <v>1671</v>
      </c>
      <c r="D3326">
        <v>719660</v>
      </c>
      <c r="E3326" t="s">
        <v>10</v>
      </c>
      <c r="F3326">
        <v>64.044600000000003</v>
      </c>
      <c r="G3326">
        <v>-139.1268</v>
      </c>
      <c r="H3326">
        <v>-8</v>
      </c>
      <c r="I3326">
        <v>370.1</v>
      </c>
      <c r="J3326" t="str">
        <f>HYPERLINK("https://climate.onebuilding.org/WMO_Region_4_North_and_Central_America/CAN_Canada/YT_Yukon/CAN_YT_Dawson.City.AP.719660_TMYx.2009-2023.zip")</f>
        <v>https://climate.onebuilding.org/WMO_Region_4_North_and_Central_America/CAN_Canada/YT_Yukon/CAN_YT_Dawson.City.AP.719660_TMYx.2009-2023.zip</v>
      </c>
    </row>
    <row r="3327" spans="1:10" x14ac:dyDescent="0.25">
      <c r="A3327" t="s">
        <v>6</v>
      </c>
      <c r="B3327" t="s">
        <v>7</v>
      </c>
      <c r="C3327" t="s">
        <v>1671</v>
      </c>
      <c r="D3327">
        <v>719660</v>
      </c>
      <c r="E3327" t="s">
        <v>10</v>
      </c>
      <c r="F3327">
        <v>64.044600000000003</v>
      </c>
      <c r="G3327">
        <v>-139.1268</v>
      </c>
      <c r="H3327">
        <v>-8</v>
      </c>
      <c r="I3327">
        <v>370.1</v>
      </c>
      <c r="J3327" t="str">
        <f>HYPERLINK("https://climate.onebuilding.org/WMO_Region_4_North_and_Central_America/CAN_Canada/YT_Yukon/CAN_YT_Dawson.City.AP.719660_TMYx.zip")</f>
        <v>https://climate.onebuilding.org/WMO_Region_4_North_and_Central_America/CAN_Canada/YT_Yukon/CAN_YT_Dawson.City.AP.719660_TMYx.zip</v>
      </c>
    </row>
    <row r="3328" spans="1:10" x14ac:dyDescent="0.25">
      <c r="A3328" t="s">
        <v>6</v>
      </c>
      <c r="B3328" t="s">
        <v>14</v>
      </c>
      <c r="C3328" t="s">
        <v>1673</v>
      </c>
      <c r="D3328">
        <v>719670</v>
      </c>
      <c r="E3328" t="s">
        <v>1674</v>
      </c>
      <c r="F3328">
        <v>45.825299999999999</v>
      </c>
      <c r="G3328">
        <v>-72.536900000000003</v>
      </c>
      <c r="H3328">
        <v>-5</v>
      </c>
      <c r="I3328">
        <v>78</v>
      </c>
      <c r="J3328" t="str">
        <f>HYPERLINK("https://climate.onebuilding.org/WMO_Region_4_North_and_Central_America/CAN_Canada/QC_Quebec/CAN_QC_Saint.Germain.de.Grantham.719670_TMYx.2004-2018.zip")</f>
        <v>https://climate.onebuilding.org/WMO_Region_4_North_and_Central_America/CAN_Canada/QC_Quebec/CAN_QC_Saint.Germain.de.Grantham.719670_TMYx.2004-2018.zip</v>
      </c>
    </row>
    <row r="3329" spans="1:10" x14ac:dyDescent="0.25">
      <c r="A3329" t="s">
        <v>6</v>
      </c>
      <c r="B3329" t="s">
        <v>14</v>
      </c>
      <c r="C3329" t="s">
        <v>1673</v>
      </c>
      <c r="D3329">
        <v>719670</v>
      </c>
      <c r="E3329" t="s">
        <v>10</v>
      </c>
      <c r="F3329">
        <v>45.825299999999999</v>
      </c>
      <c r="G3329">
        <v>-72.536900000000003</v>
      </c>
      <c r="H3329">
        <v>-5</v>
      </c>
      <c r="I3329">
        <v>78</v>
      </c>
      <c r="J3329" t="str">
        <f>HYPERLINK("https://climate.onebuilding.org/WMO_Region_4_North_and_Central_America/CAN_Canada/QC_Quebec/CAN_QC_Saint.Germain.de.Grantham.719670_TMYx.2007-2021.zip")</f>
        <v>https://climate.onebuilding.org/WMO_Region_4_North_and_Central_America/CAN_Canada/QC_Quebec/CAN_QC_Saint.Germain.de.Grantham.719670_TMYx.2007-2021.zip</v>
      </c>
    </row>
    <row r="3330" spans="1:10" x14ac:dyDescent="0.25">
      <c r="A3330" t="s">
        <v>6</v>
      </c>
      <c r="B3330" t="s">
        <v>14</v>
      </c>
      <c r="C3330" t="s">
        <v>1673</v>
      </c>
      <c r="D3330">
        <v>719670</v>
      </c>
      <c r="E3330" t="s">
        <v>10</v>
      </c>
      <c r="F3330">
        <v>45.825299999999999</v>
      </c>
      <c r="G3330">
        <v>-72.536900000000003</v>
      </c>
      <c r="H3330">
        <v>-5</v>
      </c>
      <c r="I3330">
        <v>78</v>
      </c>
      <c r="J3330" t="str">
        <f>HYPERLINK("https://climate.onebuilding.org/WMO_Region_4_North_and_Central_America/CAN_Canada/QC_Quebec/CAN_QC_Saint.Germain.de.Grantham.719670_TMYx.2009-2023.zip")</f>
        <v>https://climate.onebuilding.org/WMO_Region_4_North_and_Central_America/CAN_Canada/QC_Quebec/CAN_QC_Saint.Germain.de.Grantham.719670_TMYx.2009-2023.zip</v>
      </c>
    </row>
    <row r="3331" spans="1:10" x14ac:dyDescent="0.25">
      <c r="A3331" t="s">
        <v>6</v>
      </c>
      <c r="B3331" t="s">
        <v>14</v>
      </c>
      <c r="C3331" t="s">
        <v>1673</v>
      </c>
      <c r="D3331">
        <v>719670</v>
      </c>
      <c r="E3331" t="s">
        <v>10</v>
      </c>
      <c r="F3331">
        <v>45.825299999999999</v>
      </c>
      <c r="G3331">
        <v>-72.536900000000003</v>
      </c>
      <c r="H3331">
        <v>-5</v>
      </c>
      <c r="I3331">
        <v>78</v>
      </c>
      <c r="J3331" t="str">
        <f>HYPERLINK("https://climate.onebuilding.org/WMO_Region_4_North_and_Central_America/CAN_Canada/QC_Quebec/CAN_QC_Saint.Germain.de.Grantham.719670_TMYx.zip")</f>
        <v>https://climate.onebuilding.org/WMO_Region_4_North_and_Central_America/CAN_Canada/QC_Quebec/CAN_QC_Saint.Germain.de.Grantham.719670_TMYx.zip</v>
      </c>
    </row>
    <row r="3332" spans="1:10" x14ac:dyDescent="0.25">
      <c r="A3332" t="s">
        <v>6</v>
      </c>
      <c r="B3332" t="s">
        <v>7</v>
      </c>
      <c r="C3332" t="s">
        <v>1675</v>
      </c>
      <c r="D3332">
        <v>719675</v>
      </c>
      <c r="E3332" t="s">
        <v>1676</v>
      </c>
      <c r="F3332">
        <v>62.417000000000002</v>
      </c>
      <c r="G3332">
        <v>-140.86699999999999</v>
      </c>
      <c r="H3332">
        <v>-8</v>
      </c>
      <c r="I3332">
        <v>649</v>
      </c>
      <c r="J3332" t="str">
        <f>HYPERLINK("https://climate.onebuilding.org/WMO_Region_4_North_and_Central_America/CAN_Canada/YT_Yukon/CAN_YT_Beaver.Creek.AP.719675_TMYx.2004-2018.zip")</f>
        <v>https://climate.onebuilding.org/WMO_Region_4_North_and_Central_America/CAN_Canada/YT_Yukon/CAN_YT_Beaver.Creek.AP.719675_TMYx.2004-2018.zip</v>
      </c>
    </row>
    <row r="3333" spans="1:10" x14ac:dyDescent="0.25">
      <c r="A3333" t="s">
        <v>6</v>
      </c>
      <c r="B3333" t="s">
        <v>7</v>
      </c>
      <c r="C3333" t="s">
        <v>1675</v>
      </c>
      <c r="D3333">
        <v>719675</v>
      </c>
      <c r="E3333" t="s">
        <v>10</v>
      </c>
      <c r="F3333">
        <v>62.417000000000002</v>
      </c>
      <c r="G3333">
        <v>-140.86699999999999</v>
      </c>
      <c r="H3333">
        <v>-8</v>
      </c>
      <c r="I3333">
        <v>649</v>
      </c>
      <c r="J3333" t="str">
        <f>HYPERLINK("https://climate.onebuilding.org/WMO_Region_4_North_and_Central_America/CAN_Canada/YT_Yukon/CAN_YT_Beaver.Creek.AP.719675_TMYx.2007-2021.zip")</f>
        <v>https://climate.onebuilding.org/WMO_Region_4_North_and_Central_America/CAN_Canada/YT_Yukon/CAN_YT_Beaver.Creek.AP.719675_TMYx.2007-2021.zip</v>
      </c>
    </row>
    <row r="3334" spans="1:10" x14ac:dyDescent="0.25">
      <c r="A3334" t="s">
        <v>6</v>
      </c>
      <c r="B3334" t="s">
        <v>7</v>
      </c>
      <c r="C3334" t="s">
        <v>1675</v>
      </c>
      <c r="D3334">
        <v>719675</v>
      </c>
      <c r="E3334" t="s">
        <v>10</v>
      </c>
      <c r="F3334">
        <v>62.417000000000002</v>
      </c>
      <c r="G3334">
        <v>-140.86699999999999</v>
      </c>
      <c r="H3334">
        <v>-8</v>
      </c>
      <c r="I3334">
        <v>649</v>
      </c>
      <c r="J3334" t="str">
        <f>HYPERLINK("https://climate.onebuilding.org/WMO_Region_4_North_and_Central_America/CAN_Canada/YT_Yukon/CAN_YT_Beaver.Creek.AP.719675_TMYx.2009-2023.zip")</f>
        <v>https://climate.onebuilding.org/WMO_Region_4_North_and_Central_America/CAN_Canada/YT_Yukon/CAN_YT_Beaver.Creek.AP.719675_TMYx.2009-2023.zip</v>
      </c>
    </row>
    <row r="3335" spans="1:10" x14ac:dyDescent="0.25">
      <c r="A3335" t="s">
        <v>6</v>
      </c>
      <c r="B3335" t="s">
        <v>7</v>
      </c>
      <c r="C3335" t="s">
        <v>1675</v>
      </c>
      <c r="D3335">
        <v>719675</v>
      </c>
      <c r="E3335" t="s">
        <v>10</v>
      </c>
      <c r="F3335">
        <v>62.417000000000002</v>
      </c>
      <c r="G3335">
        <v>-140.86699999999999</v>
      </c>
      <c r="H3335">
        <v>-8</v>
      </c>
      <c r="I3335">
        <v>649</v>
      </c>
      <c r="J3335" t="str">
        <f>HYPERLINK("https://climate.onebuilding.org/WMO_Region_4_North_and_Central_America/CAN_Canada/YT_Yukon/CAN_YT_Beaver.Creek.AP.719675_TMYx.zip")</f>
        <v>https://climate.onebuilding.org/WMO_Region_4_North_and_Central_America/CAN_Canada/YT_Yukon/CAN_YT_Beaver.Creek.AP.719675_TMYx.zip</v>
      </c>
    </row>
    <row r="3336" spans="1:10" x14ac:dyDescent="0.25">
      <c r="A3336" t="s">
        <v>6</v>
      </c>
      <c r="B3336" t="s">
        <v>7</v>
      </c>
      <c r="C3336" t="s">
        <v>1677</v>
      </c>
      <c r="D3336">
        <v>719680</v>
      </c>
      <c r="E3336" t="s">
        <v>1678</v>
      </c>
      <c r="F3336">
        <v>68.95</v>
      </c>
      <c r="G3336">
        <v>-137.2167</v>
      </c>
      <c r="H3336">
        <v>-8</v>
      </c>
      <c r="I3336">
        <v>49.4</v>
      </c>
      <c r="J3336" t="str">
        <f>HYPERLINK("https://climate.onebuilding.org/WMO_Region_4_North_and_Central_America/CAN_Canada/YT_Yukon/CAN_YT_Shingle.Point.AP.719680_TMYx.2004-2018.zip")</f>
        <v>https://climate.onebuilding.org/WMO_Region_4_North_and_Central_America/CAN_Canada/YT_Yukon/CAN_YT_Shingle.Point.AP.719680_TMYx.2004-2018.zip</v>
      </c>
    </row>
    <row r="3337" spans="1:10" x14ac:dyDescent="0.25">
      <c r="A3337" t="s">
        <v>6</v>
      </c>
      <c r="B3337" t="s">
        <v>7</v>
      </c>
      <c r="C3337" t="s">
        <v>1677</v>
      </c>
      <c r="D3337">
        <v>719680</v>
      </c>
      <c r="E3337" t="s">
        <v>10</v>
      </c>
      <c r="F3337">
        <v>68.923000000000002</v>
      </c>
      <c r="G3337">
        <v>-137.261</v>
      </c>
      <c r="H3337">
        <v>-8</v>
      </c>
      <c r="I3337">
        <v>49.4</v>
      </c>
      <c r="J3337" t="str">
        <f>HYPERLINK("https://climate.onebuilding.org/WMO_Region_4_North_and_Central_America/CAN_Canada/YT_Yukon/CAN_YT_Shingle.Point.AP.719680_TMYx.2007-2021.zip")</f>
        <v>https://climate.onebuilding.org/WMO_Region_4_North_and_Central_America/CAN_Canada/YT_Yukon/CAN_YT_Shingle.Point.AP.719680_TMYx.2007-2021.zip</v>
      </c>
    </row>
    <row r="3338" spans="1:10" x14ac:dyDescent="0.25">
      <c r="A3338" t="s">
        <v>6</v>
      </c>
      <c r="B3338" t="s">
        <v>7</v>
      </c>
      <c r="C3338" t="s">
        <v>1677</v>
      </c>
      <c r="D3338">
        <v>719680</v>
      </c>
      <c r="E3338" t="s">
        <v>10</v>
      </c>
      <c r="F3338">
        <v>68.923000000000002</v>
      </c>
      <c r="G3338">
        <v>-137.261</v>
      </c>
      <c r="H3338">
        <v>-8</v>
      </c>
      <c r="I3338">
        <v>49.4</v>
      </c>
      <c r="J3338" t="str">
        <f>HYPERLINK("https://climate.onebuilding.org/WMO_Region_4_North_and_Central_America/CAN_Canada/YT_Yukon/CAN_YT_Shingle.Point.AP.719680_TMYx.2009-2023.zip")</f>
        <v>https://climate.onebuilding.org/WMO_Region_4_North_and_Central_America/CAN_Canada/YT_Yukon/CAN_YT_Shingle.Point.AP.719680_TMYx.2009-2023.zip</v>
      </c>
    </row>
    <row r="3339" spans="1:10" x14ac:dyDescent="0.25">
      <c r="A3339" t="s">
        <v>6</v>
      </c>
      <c r="B3339" t="s">
        <v>7</v>
      </c>
      <c r="C3339" t="s">
        <v>1677</v>
      </c>
      <c r="D3339">
        <v>719680</v>
      </c>
      <c r="E3339" t="s">
        <v>10</v>
      </c>
      <c r="F3339">
        <v>68.923000000000002</v>
      </c>
      <c r="G3339">
        <v>-137.261</v>
      </c>
      <c r="H3339">
        <v>-8</v>
      </c>
      <c r="I3339">
        <v>49.4</v>
      </c>
      <c r="J3339" t="str">
        <f>HYPERLINK("https://climate.onebuilding.org/WMO_Region_4_North_and_Central_America/CAN_Canada/YT_Yukon/CAN_YT_Shingle.Point.AP.719680_TMYx.zip")</f>
        <v>https://climate.onebuilding.org/WMO_Region_4_North_and_Central_America/CAN_Canada/YT_Yukon/CAN_YT_Shingle.Point.AP.719680_TMYx.zip</v>
      </c>
    </row>
    <row r="3340" spans="1:10" x14ac:dyDescent="0.25">
      <c r="A3340" t="s">
        <v>6</v>
      </c>
      <c r="B3340" t="s">
        <v>7</v>
      </c>
      <c r="C3340" t="s">
        <v>1679</v>
      </c>
      <c r="D3340">
        <v>719691</v>
      </c>
      <c r="E3340" t="s">
        <v>10</v>
      </c>
      <c r="F3340">
        <v>62.354399999999998</v>
      </c>
      <c r="G3340">
        <v>-140.40379999999999</v>
      </c>
      <c r="H3340">
        <v>-8</v>
      </c>
      <c r="I3340">
        <v>587</v>
      </c>
      <c r="J3340" t="str">
        <f>HYPERLINK("https://climate.onebuilding.org/WMO_Region_4_North_and_Central_America/CAN_Canada/YT_Yukon/CAN_YT_Snag.AP.719691_TMYx.zip")</f>
        <v>https://climate.onebuilding.org/WMO_Region_4_North_and_Central_America/CAN_Canada/YT_Yukon/CAN_YT_Snag.AP.719691_TMYx.zip</v>
      </c>
    </row>
    <row r="3341" spans="1:10" x14ac:dyDescent="0.25">
      <c r="A3341" t="s">
        <v>6</v>
      </c>
      <c r="B3341" t="s">
        <v>58</v>
      </c>
      <c r="C3341" t="s">
        <v>1680</v>
      </c>
      <c r="D3341">
        <v>719700</v>
      </c>
      <c r="E3341" t="s">
        <v>1681</v>
      </c>
      <c r="F3341">
        <v>54.133299999999998</v>
      </c>
      <c r="G3341">
        <v>-108.5167</v>
      </c>
      <c r="H3341">
        <v>-6</v>
      </c>
      <c r="I3341">
        <v>481</v>
      </c>
      <c r="J3341" t="str">
        <f>HYPERLINK("https://climate.onebuilding.org/WMO_Region_4_North_and_Central_America/CAN_Canada/SK_Saskatchewan/CAN_SK_Meadow.Lake.AP.719700_TMYx.2004-2018.zip")</f>
        <v>https://climate.onebuilding.org/WMO_Region_4_North_and_Central_America/CAN_Canada/SK_Saskatchewan/CAN_SK_Meadow.Lake.AP.719700_TMYx.2004-2018.zip</v>
      </c>
    </row>
    <row r="3342" spans="1:10" x14ac:dyDescent="0.25">
      <c r="A3342" t="s">
        <v>6</v>
      </c>
      <c r="B3342" t="s">
        <v>58</v>
      </c>
      <c r="C3342" t="s">
        <v>1680</v>
      </c>
      <c r="D3342">
        <v>719700</v>
      </c>
      <c r="E3342" t="s">
        <v>10</v>
      </c>
      <c r="F3342">
        <v>54.128599999999999</v>
      </c>
      <c r="G3342">
        <v>-108.511</v>
      </c>
      <c r="H3342">
        <v>-6</v>
      </c>
      <c r="I3342">
        <v>481</v>
      </c>
      <c r="J3342" t="str">
        <f>HYPERLINK("https://climate.onebuilding.org/WMO_Region_4_North_and_Central_America/CAN_Canada/SK_Saskatchewan/CAN_SK_Meadow.Lake.AP.719700_TMYx.2007-2021.zip")</f>
        <v>https://climate.onebuilding.org/WMO_Region_4_North_and_Central_America/CAN_Canada/SK_Saskatchewan/CAN_SK_Meadow.Lake.AP.719700_TMYx.2007-2021.zip</v>
      </c>
    </row>
    <row r="3343" spans="1:10" x14ac:dyDescent="0.25">
      <c r="A3343" t="s">
        <v>6</v>
      </c>
      <c r="B3343" t="s">
        <v>58</v>
      </c>
      <c r="C3343" t="s">
        <v>1680</v>
      </c>
      <c r="D3343">
        <v>719700</v>
      </c>
      <c r="E3343" t="s">
        <v>10</v>
      </c>
      <c r="F3343">
        <v>54.128599999999999</v>
      </c>
      <c r="G3343">
        <v>-108.511</v>
      </c>
      <c r="H3343">
        <v>-6</v>
      </c>
      <c r="I3343">
        <v>481</v>
      </c>
      <c r="J3343" t="str">
        <f>HYPERLINK("https://climate.onebuilding.org/WMO_Region_4_North_and_Central_America/CAN_Canada/SK_Saskatchewan/CAN_SK_Meadow.Lake.AP.719700_TMYx.2009-2023.zip")</f>
        <v>https://climate.onebuilding.org/WMO_Region_4_North_and_Central_America/CAN_Canada/SK_Saskatchewan/CAN_SK_Meadow.Lake.AP.719700_TMYx.2009-2023.zip</v>
      </c>
    </row>
    <row r="3344" spans="1:10" x14ac:dyDescent="0.25">
      <c r="A3344" t="s">
        <v>6</v>
      </c>
      <c r="B3344" t="s">
        <v>58</v>
      </c>
      <c r="C3344" t="s">
        <v>1680</v>
      </c>
      <c r="D3344">
        <v>719700</v>
      </c>
      <c r="E3344" t="s">
        <v>10</v>
      </c>
      <c r="F3344">
        <v>54.128599999999999</v>
      </c>
      <c r="G3344">
        <v>-108.511</v>
      </c>
      <c r="H3344">
        <v>-6</v>
      </c>
      <c r="I3344">
        <v>481</v>
      </c>
      <c r="J3344" t="str">
        <f>HYPERLINK("https://climate.onebuilding.org/WMO_Region_4_North_and_Central_America/CAN_Canada/SK_Saskatchewan/CAN_SK_Meadow.Lake.AP.719700_TMYx.zip")</f>
        <v>https://climate.onebuilding.org/WMO_Region_4_North_and_Central_America/CAN_Canada/SK_Saskatchewan/CAN_SK_Meadow.Lake.AP.719700_TMYx.zip</v>
      </c>
    </row>
    <row r="3345" spans="1:10" x14ac:dyDescent="0.25">
      <c r="A3345" t="s">
        <v>6</v>
      </c>
      <c r="B3345" t="s">
        <v>42</v>
      </c>
      <c r="C3345" t="s">
        <v>1682</v>
      </c>
      <c r="D3345">
        <v>719710</v>
      </c>
      <c r="E3345" t="s">
        <v>10</v>
      </c>
      <c r="F3345">
        <v>76.422799999999995</v>
      </c>
      <c r="G3345">
        <v>-82.902199999999993</v>
      </c>
      <c r="H3345">
        <v>-5</v>
      </c>
      <c r="I3345">
        <v>44.5</v>
      </c>
      <c r="J3345" t="str">
        <f>HYPERLINK("https://climate.onebuilding.org/WMO_Region_4_North_and_Central_America/CAN_Canada/NU_Nunavut/CAN_NU_Grise.Fiord.CS.719710_TMYx.2007-2021.zip")</f>
        <v>https://climate.onebuilding.org/WMO_Region_4_North_and_Central_America/CAN_Canada/NU_Nunavut/CAN_NU_Grise.Fiord.CS.719710_TMYx.2007-2021.zip</v>
      </c>
    </row>
    <row r="3346" spans="1:10" x14ac:dyDescent="0.25">
      <c r="A3346" t="s">
        <v>6</v>
      </c>
      <c r="B3346" t="s">
        <v>42</v>
      </c>
      <c r="C3346" t="s">
        <v>1682</v>
      </c>
      <c r="D3346">
        <v>719710</v>
      </c>
      <c r="E3346" t="s">
        <v>10</v>
      </c>
      <c r="F3346">
        <v>76.422799999999995</v>
      </c>
      <c r="G3346">
        <v>-82.902199999999993</v>
      </c>
      <c r="H3346">
        <v>-5</v>
      </c>
      <c r="I3346">
        <v>44.5</v>
      </c>
      <c r="J3346" t="str">
        <f>HYPERLINK("https://climate.onebuilding.org/WMO_Region_4_North_and_Central_America/CAN_Canada/NU_Nunavut/CAN_NU_Grise.Fiord.CS.719710_TMYx.2009-2023.zip")</f>
        <v>https://climate.onebuilding.org/WMO_Region_4_North_and_Central_America/CAN_Canada/NU_Nunavut/CAN_NU_Grise.Fiord.CS.719710_TMYx.2009-2023.zip</v>
      </c>
    </row>
    <row r="3347" spans="1:10" x14ac:dyDescent="0.25">
      <c r="A3347" t="s">
        <v>6</v>
      </c>
      <c r="B3347" t="s">
        <v>42</v>
      </c>
      <c r="C3347" t="s">
        <v>1682</v>
      </c>
      <c r="D3347">
        <v>719710</v>
      </c>
      <c r="E3347" t="s">
        <v>10</v>
      </c>
      <c r="F3347">
        <v>76.422799999999995</v>
      </c>
      <c r="G3347">
        <v>-82.902199999999993</v>
      </c>
      <c r="H3347">
        <v>-5</v>
      </c>
      <c r="I3347">
        <v>44.5</v>
      </c>
      <c r="J3347" t="str">
        <f>HYPERLINK("https://climate.onebuilding.org/WMO_Region_4_North_and_Central_America/CAN_Canada/NU_Nunavut/CAN_NU_Grise.Fiord.CS.719710_TMYx.zip")</f>
        <v>https://climate.onebuilding.org/WMO_Region_4_North_and_Central_America/CAN_Canada/NU_Nunavut/CAN_NU_Grise.Fiord.CS.719710_TMYx.zip</v>
      </c>
    </row>
    <row r="3348" spans="1:10" x14ac:dyDescent="0.25">
      <c r="A3348" t="s">
        <v>6</v>
      </c>
      <c r="B3348" t="s">
        <v>42</v>
      </c>
      <c r="C3348" t="s">
        <v>1683</v>
      </c>
      <c r="D3348">
        <v>719720</v>
      </c>
      <c r="E3348" t="s">
        <v>1684</v>
      </c>
      <c r="F3348">
        <v>61.58</v>
      </c>
      <c r="G3348">
        <v>-64.650000000000006</v>
      </c>
      <c r="H3348">
        <v>-5</v>
      </c>
      <c r="I3348">
        <v>369</v>
      </c>
      <c r="J3348" t="str">
        <f>HYPERLINK("https://climate.onebuilding.org/WMO_Region_4_North_and_Central_America/CAN_Canada/NU_Nunavut/CAN_NU_Resolution.Island.719720_TMYx.2004-2018.zip")</f>
        <v>https://climate.onebuilding.org/WMO_Region_4_North_and_Central_America/CAN_Canada/NU_Nunavut/CAN_NU_Resolution.Island.719720_TMYx.2004-2018.zip</v>
      </c>
    </row>
    <row r="3349" spans="1:10" x14ac:dyDescent="0.25">
      <c r="A3349" t="s">
        <v>6</v>
      </c>
      <c r="B3349" t="s">
        <v>42</v>
      </c>
      <c r="C3349" t="s">
        <v>1683</v>
      </c>
      <c r="D3349">
        <v>719720</v>
      </c>
      <c r="E3349" t="s">
        <v>10</v>
      </c>
      <c r="F3349">
        <v>61.595999999999997</v>
      </c>
      <c r="G3349">
        <v>-64.638999999999996</v>
      </c>
      <c r="H3349">
        <v>-5</v>
      </c>
      <c r="I3349">
        <v>369</v>
      </c>
      <c r="J3349" t="str">
        <f>HYPERLINK("https://climate.onebuilding.org/WMO_Region_4_North_and_Central_America/CAN_Canada/NU_Nunavut/CAN_NU_Resolution.Island.719720_TMYx.2007-2021.zip")</f>
        <v>https://climate.onebuilding.org/WMO_Region_4_North_and_Central_America/CAN_Canada/NU_Nunavut/CAN_NU_Resolution.Island.719720_TMYx.2007-2021.zip</v>
      </c>
    </row>
    <row r="3350" spans="1:10" x14ac:dyDescent="0.25">
      <c r="A3350" t="s">
        <v>6</v>
      </c>
      <c r="B3350" t="s">
        <v>42</v>
      </c>
      <c r="C3350" t="s">
        <v>1683</v>
      </c>
      <c r="D3350">
        <v>719720</v>
      </c>
      <c r="E3350" t="s">
        <v>10</v>
      </c>
      <c r="F3350">
        <v>61.595999999999997</v>
      </c>
      <c r="G3350">
        <v>-64.638999999999996</v>
      </c>
      <c r="H3350">
        <v>-5</v>
      </c>
      <c r="I3350">
        <v>369</v>
      </c>
      <c r="J3350" t="str">
        <f>HYPERLINK("https://climate.onebuilding.org/WMO_Region_4_North_and_Central_America/CAN_Canada/NU_Nunavut/CAN_NU_Resolution.Island.719720_TMYx.2009-2023.zip")</f>
        <v>https://climate.onebuilding.org/WMO_Region_4_North_and_Central_America/CAN_Canada/NU_Nunavut/CAN_NU_Resolution.Island.719720_TMYx.2009-2023.zip</v>
      </c>
    </row>
    <row r="3351" spans="1:10" x14ac:dyDescent="0.25">
      <c r="A3351" t="s">
        <v>6</v>
      </c>
      <c r="B3351" t="s">
        <v>42</v>
      </c>
      <c r="C3351" t="s">
        <v>1683</v>
      </c>
      <c r="D3351">
        <v>719720</v>
      </c>
      <c r="E3351" t="s">
        <v>10</v>
      </c>
      <c r="F3351">
        <v>61.595999999999997</v>
      </c>
      <c r="G3351">
        <v>-64.638999999999996</v>
      </c>
      <c r="H3351">
        <v>-5</v>
      </c>
      <c r="I3351">
        <v>369</v>
      </c>
      <c r="J3351" t="str">
        <f>HYPERLINK("https://climate.onebuilding.org/WMO_Region_4_North_and_Central_America/CAN_Canada/NU_Nunavut/CAN_NU_Resolution.Island.719720_TMYx.zip")</f>
        <v>https://climate.onebuilding.org/WMO_Region_4_North_and_Central_America/CAN_Canada/NU_Nunavut/CAN_NU_Resolution.Island.719720_TMYx.zip</v>
      </c>
    </row>
    <row r="3352" spans="1:10" x14ac:dyDescent="0.25">
      <c r="A3352" t="s">
        <v>6</v>
      </c>
      <c r="B3352" t="s">
        <v>11</v>
      </c>
      <c r="C3352" t="s">
        <v>1685</v>
      </c>
      <c r="D3352">
        <v>719730</v>
      </c>
      <c r="E3352" t="s">
        <v>1686</v>
      </c>
      <c r="F3352">
        <v>48.933300000000003</v>
      </c>
      <c r="G3352">
        <v>-57.916699999999999</v>
      </c>
      <c r="H3352">
        <v>-3.5</v>
      </c>
      <c r="I3352">
        <v>151.80000000000001</v>
      </c>
      <c r="J3352" t="str">
        <f>HYPERLINK("https://climate.onebuilding.org/WMO_Region_4_North_and_Central_America/CAN_Canada/NL_Newfoundland_and_Labrador/CAN_NL_Corner.Brook.719730_TMYx.2004-2018.zip")</f>
        <v>https://climate.onebuilding.org/WMO_Region_4_North_and_Central_America/CAN_Canada/NL_Newfoundland_and_Labrador/CAN_NL_Corner.Brook.719730_TMYx.2004-2018.zip</v>
      </c>
    </row>
    <row r="3353" spans="1:10" x14ac:dyDescent="0.25">
      <c r="A3353" t="s">
        <v>6</v>
      </c>
      <c r="B3353" t="s">
        <v>11</v>
      </c>
      <c r="C3353" t="s">
        <v>1685</v>
      </c>
      <c r="D3353">
        <v>719730</v>
      </c>
      <c r="E3353" t="s">
        <v>10</v>
      </c>
      <c r="F3353">
        <v>48.93</v>
      </c>
      <c r="G3353">
        <v>-57.92</v>
      </c>
      <c r="H3353">
        <v>-3.5</v>
      </c>
      <c r="I3353">
        <v>151.80000000000001</v>
      </c>
      <c r="J3353" t="str">
        <f>HYPERLINK("https://climate.onebuilding.org/WMO_Region_4_North_and_Central_America/CAN_Canada/NL_Newfoundland_and_Labrador/CAN_NL_Corner.Brook.719730_TMYx.2007-2021.zip")</f>
        <v>https://climate.onebuilding.org/WMO_Region_4_North_and_Central_America/CAN_Canada/NL_Newfoundland_and_Labrador/CAN_NL_Corner.Brook.719730_TMYx.2007-2021.zip</v>
      </c>
    </row>
    <row r="3354" spans="1:10" x14ac:dyDescent="0.25">
      <c r="A3354" t="s">
        <v>6</v>
      </c>
      <c r="B3354" t="s">
        <v>11</v>
      </c>
      <c r="C3354" t="s">
        <v>1685</v>
      </c>
      <c r="D3354">
        <v>719730</v>
      </c>
      <c r="E3354" t="s">
        <v>10</v>
      </c>
      <c r="F3354">
        <v>48.93</v>
      </c>
      <c r="G3354">
        <v>-57.92</v>
      </c>
      <c r="H3354">
        <v>-3.5</v>
      </c>
      <c r="I3354">
        <v>151.80000000000001</v>
      </c>
      <c r="J3354" t="str">
        <f>HYPERLINK("https://climate.onebuilding.org/WMO_Region_4_North_and_Central_America/CAN_Canada/NL_Newfoundland_and_Labrador/CAN_NL_Corner.Brook.719730_TMYx.2009-2023.zip")</f>
        <v>https://climate.onebuilding.org/WMO_Region_4_North_and_Central_America/CAN_Canada/NL_Newfoundland_and_Labrador/CAN_NL_Corner.Brook.719730_TMYx.2009-2023.zip</v>
      </c>
    </row>
    <row r="3355" spans="1:10" x14ac:dyDescent="0.25">
      <c r="A3355" t="s">
        <v>6</v>
      </c>
      <c r="B3355" t="s">
        <v>11</v>
      </c>
      <c r="C3355" t="s">
        <v>1685</v>
      </c>
      <c r="D3355">
        <v>719730</v>
      </c>
      <c r="E3355" t="s">
        <v>10</v>
      </c>
      <c r="F3355">
        <v>48.93</v>
      </c>
      <c r="G3355">
        <v>-57.92</v>
      </c>
      <c r="H3355">
        <v>-3.5</v>
      </c>
      <c r="I3355">
        <v>151.80000000000001</v>
      </c>
      <c r="J3355" t="str">
        <f>HYPERLINK("https://climate.onebuilding.org/WMO_Region_4_North_and_Central_America/CAN_Canada/NL_Newfoundland_and_Labrador/CAN_NL_Corner.Brook.719730_TMYx.zip")</f>
        <v>https://climate.onebuilding.org/WMO_Region_4_North_and_Central_America/CAN_Canada/NL_Newfoundland_and_Labrador/CAN_NL_Corner.Brook.719730_TMYx.zip</v>
      </c>
    </row>
    <row r="3356" spans="1:10" x14ac:dyDescent="0.25">
      <c r="A3356" t="s">
        <v>6</v>
      </c>
      <c r="B3356" t="s">
        <v>48</v>
      </c>
      <c r="C3356" t="s">
        <v>1687</v>
      </c>
      <c r="D3356">
        <v>719740</v>
      </c>
      <c r="E3356" t="s">
        <v>1688</v>
      </c>
      <c r="F3356">
        <v>74.138900000000007</v>
      </c>
      <c r="G3356">
        <v>-119.9889</v>
      </c>
      <c r="H3356">
        <v>-7</v>
      </c>
      <c r="I3356">
        <v>32</v>
      </c>
      <c r="J3356" t="str">
        <f>HYPERLINK("https://climate.onebuilding.org/WMO_Region_4_North_and_Central_America/CAN_Canada/NT_Northwest_Territories/CAN_NT_Aulvik.Natl.Park.719740_TMYx.2004-2018.zip")</f>
        <v>https://climate.onebuilding.org/WMO_Region_4_North_and_Central_America/CAN_Canada/NT_Northwest_Territories/CAN_NT_Aulvik.Natl.Park.719740_TMYx.2004-2018.zip</v>
      </c>
    </row>
    <row r="3357" spans="1:10" x14ac:dyDescent="0.25">
      <c r="A3357" t="s">
        <v>6</v>
      </c>
      <c r="B3357" t="s">
        <v>48</v>
      </c>
      <c r="C3357" t="s">
        <v>1687</v>
      </c>
      <c r="D3357">
        <v>719740</v>
      </c>
      <c r="E3357" t="s">
        <v>10</v>
      </c>
      <c r="F3357">
        <v>74.138900000000007</v>
      </c>
      <c r="G3357">
        <v>-119.9889</v>
      </c>
      <c r="H3357">
        <v>-7</v>
      </c>
      <c r="I3357">
        <v>32</v>
      </c>
      <c r="J3357" t="str">
        <f>HYPERLINK("https://climate.onebuilding.org/WMO_Region_4_North_and_Central_America/CAN_Canada/NT_Northwest_Territories/CAN_NT_Aulvik.Natl.Park.719740_TMYx.2007-2021.zip")</f>
        <v>https://climate.onebuilding.org/WMO_Region_4_North_and_Central_America/CAN_Canada/NT_Northwest_Territories/CAN_NT_Aulvik.Natl.Park.719740_TMYx.2007-2021.zip</v>
      </c>
    </row>
    <row r="3358" spans="1:10" x14ac:dyDescent="0.25">
      <c r="A3358" t="s">
        <v>6</v>
      </c>
      <c r="B3358" t="s">
        <v>48</v>
      </c>
      <c r="C3358" t="s">
        <v>1687</v>
      </c>
      <c r="D3358">
        <v>719740</v>
      </c>
      <c r="E3358" t="s">
        <v>10</v>
      </c>
      <c r="F3358">
        <v>74.138900000000007</v>
      </c>
      <c r="G3358">
        <v>-119.9889</v>
      </c>
      <c r="H3358">
        <v>-7</v>
      </c>
      <c r="I3358">
        <v>32</v>
      </c>
      <c r="J3358" t="str">
        <f>HYPERLINK("https://climate.onebuilding.org/WMO_Region_4_North_and_Central_America/CAN_Canada/NT_Northwest_Territories/CAN_NT_Aulvik.Natl.Park.719740_TMYx.2009-2023.zip")</f>
        <v>https://climate.onebuilding.org/WMO_Region_4_North_and_Central_America/CAN_Canada/NT_Northwest_Territories/CAN_NT_Aulvik.Natl.Park.719740_TMYx.2009-2023.zip</v>
      </c>
    </row>
    <row r="3359" spans="1:10" x14ac:dyDescent="0.25">
      <c r="A3359" t="s">
        <v>6</v>
      </c>
      <c r="B3359" t="s">
        <v>48</v>
      </c>
      <c r="C3359" t="s">
        <v>1687</v>
      </c>
      <c r="D3359">
        <v>719740</v>
      </c>
      <c r="E3359" t="s">
        <v>10</v>
      </c>
      <c r="F3359">
        <v>74.138900000000007</v>
      </c>
      <c r="G3359">
        <v>-119.9889</v>
      </c>
      <c r="H3359">
        <v>-7</v>
      </c>
      <c r="I3359">
        <v>32</v>
      </c>
      <c r="J3359" t="str">
        <f>HYPERLINK("https://climate.onebuilding.org/WMO_Region_4_North_and_Central_America/CAN_Canada/NT_Northwest_Territories/CAN_NT_Aulvik.Natl.Park.719740_TMYx.zip")</f>
        <v>https://climate.onebuilding.org/WMO_Region_4_North_and_Central_America/CAN_Canada/NT_Northwest_Territories/CAN_NT_Aulvik.Natl.Park.719740_TMYx.zip</v>
      </c>
    </row>
    <row r="3360" spans="1:10" x14ac:dyDescent="0.25">
      <c r="A3360" t="s">
        <v>6</v>
      </c>
      <c r="B3360" t="s">
        <v>42</v>
      </c>
      <c r="C3360" t="s">
        <v>1689</v>
      </c>
      <c r="D3360">
        <v>719750</v>
      </c>
      <c r="E3360" t="s">
        <v>1690</v>
      </c>
      <c r="F3360">
        <v>64.957800000000006</v>
      </c>
      <c r="G3360">
        <v>-63.577800000000003</v>
      </c>
      <c r="H3360">
        <v>-5</v>
      </c>
      <c r="I3360">
        <v>582.6</v>
      </c>
      <c r="J3360" t="str">
        <f>HYPERLINK("https://climate.onebuilding.org/WMO_Region_4_North_and_Central_America/CAN_Canada/NU_Nunavut/CAN_NU_Cape.Mercy.719750_TMYx.2004-2018.zip")</f>
        <v>https://climate.onebuilding.org/WMO_Region_4_North_and_Central_America/CAN_Canada/NU_Nunavut/CAN_NU_Cape.Mercy.719750_TMYx.2004-2018.zip</v>
      </c>
    </row>
    <row r="3361" spans="1:10" x14ac:dyDescent="0.25">
      <c r="A3361" t="s">
        <v>6</v>
      </c>
      <c r="B3361" t="s">
        <v>42</v>
      </c>
      <c r="C3361" t="s">
        <v>1689</v>
      </c>
      <c r="D3361">
        <v>719750</v>
      </c>
      <c r="E3361" t="s">
        <v>10</v>
      </c>
      <c r="F3361">
        <v>64.957800000000006</v>
      </c>
      <c r="G3361">
        <v>-63.577800000000003</v>
      </c>
      <c r="H3361">
        <v>-5</v>
      </c>
      <c r="I3361">
        <v>582.6</v>
      </c>
      <c r="J3361" t="str">
        <f>HYPERLINK("https://climate.onebuilding.org/WMO_Region_4_North_and_Central_America/CAN_Canada/NU_Nunavut/CAN_NU_Cape.Mercy.719750_TMYx.2007-2021.zip")</f>
        <v>https://climate.onebuilding.org/WMO_Region_4_North_and_Central_America/CAN_Canada/NU_Nunavut/CAN_NU_Cape.Mercy.719750_TMYx.2007-2021.zip</v>
      </c>
    </row>
    <row r="3362" spans="1:10" x14ac:dyDescent="0.25">
      <c r="A3362" t="s">
        <v>6</v>
      </c>
      <c r="B3362" t="s">
        <v>42</v>
      </c>
      <c r="C3362" t="s">
        <v>1689</v>
      </c>
      <c r="D3362">
        <v>719750</v>
      </c>
      <c r="E3362" t="s">
        <v>10</v>
      </c>
      <c r="F3362">
        <v>64.957800000000006</v>
      </c>
      <c r="G3362">
        <v>-63.577800000000003</v>
      </c>
      <c r="H3362">
        <v>-5</v>
      </c>
      <c r="I3362">
        <v>582.6</v>
      </c>
      <c r="J3362" t="str">
        <f>HYPERLINK("https://climate.onebuilding.org/WMO_Region_4_North_and_Central_America/CAN_Canada/NU_Nunavut/CAN_NU_Cape.Mercy.719750_TMYx.2009-2023.zip")</f>
        <v>https://climate.onebuilding.org/WMO_Region_4_North_and_Central_America/CAN_Canada/NU_Nunavut/CAN_NU_Cape.Mercy.719750_TMYx.2009-2023.zip</v>
      </c>
    </row>
    <row r="3363" spans="1:10" x14ac:dyDescent="0.25">
      <c r="A3363" t="s">
        <v>6</v>
      </c>
      <c r="B3363" t="s">
        <v>42</v>
      </c>
      <c r="C3363" t="s">
        <v>1689</v>
      </c>
      <c r="D3363">
        <v>719750</v>
      </c>
      <c r="E3363" t="s">
        <v>10</v>
      </c>
      <c r="F3363">
        <v>64.957800000000006</v>
      </c>
      <c r="G3363">
        <v>-63.577800000000003</v>
      </c>
      <c r="H3363">
        <v>-5</v>
      </c>
      <c r="I3363">
        <v>582.6</v>
      </c>
      <c r="J3363" t="str">
        <f>HYPERLINK("https://climate.onebuilding.org/WMO_Region_4_North_and_Central_America/CAN_Canada/NU_Nunavut/CAN_NU_Cape.Mercy.719750_TMYx.zip")</f>
        <v>https://climate.onebuilding.org/WMO_Region_4_North_and_Central_America/CAN_Canada/NU_Nunavut/CAN_NU_Cape.Mercy.719750_TMYx.zip</v>
      </c>
    </row>
    <row r="3364" spans="1:10" x14ac:dyDescent="0.25">
      <c r="A3364" t="s">
        <v>6</v>
      </c>
      <c r="B3364" t="s">
        <v>14</v>
      </c>
      <c r="C3364" t="s">
        <v>1691</v>
      </c>
      <c r="D3364">
        <v>719760</v>
      </c>
      <c r="E3364" t="s">
        <v>1692</v>
      </c>
      <c r="F3364">
        <v>61.312800000000003</v>
      </c>
      <c r="G3364">
        <v>-73.668300000000002</v>
      </c>
      <c r="H3364">
        <v>-5</v>
      </c>
      <c r="I3364">
        <v>503.4</v>
      </c>
      <c r="J3364" t="str">
        <f>HYPERLINK("https://climate.onebuilding.org/WMO_Region_4_North_and_Central_America/CAN_Canada/QC_Quebec/CAN_QC_Parc.Natl.des.Pingualuit.719760_TMYx.2004-2018.zip")</f>
        <v>https://climate.onebuilding.org/WMO_Region_4_North_and_Central_America/CAN_Canada/QC_Quebec/CAN_QC_Parc.Natl.des.Pingualuit.719760_TMYx.2004-2018.zip</v>
      </c>
    </row>
    <row r="3365" spans="1:10" x14ac:dyDescent="0.25">
      <c r="A3365" t="s">
        <v>6</v>
      </c>
      <c r="B3365" t="s">
        <v>14</v>
      </c>
      <c r="C3365" t="s">
        <v>1691</v>
      </c>
      <c r="D3365">
        <v>719760</v>
      </c>
      <c r="E3365" t="s">
        <v>10</v>
      </c>
      <c r="F3365">
        <v>61.312800000000003</v>
      </c>
      <c r="G3365">
        <v>-73.668300000000002</v>
      </c>
      <c r="H3365">
        <v>-5</v>
      </c>
      <c r="I3365">
        <v>503.4</v>
      </c>
      <c r="J3365" t="str">
        <f>HYPERLINK("https://climate.onebuilding.org/WMO_Region_4_North_and_Central_America/CAN_Canada/QC_Quebec/CAN_QC_Parc.Natl.des.Pingualuit.719760_TMYx.2007-2021.zip")</f>
        <v>https://climate.onebuilding.org/WMO_Region_4_North_and_Central_America/CAN_Canada/QC_Quebec/CAN_QC_Parc.Natl.des.Pingualuit.719760_TMYx.2007-2021.zip</v>
      </c>
    </row>
    <row r="3366" spans="1:10" x14ac:dyDescent="0.25">
      <c r="A3366" t="s">
        <v>6</v>
      </c>
      <c r="B3366" t="s">
        <v>14</v>
      </c>
      <c r="C3366" t="s">
        <v>1691</v>
      </c>
      <c r="D3366">
        <v>719760</v>
      </c>
      <c r="E3366" t="s">
        <v>10</v>
      </c>
      <c r="F3366">
        <v>61.312800000000003</v>
      </c>
      <c r="G3366">
        <v>-73.668300000000002</v>
      </c>
      <c r="H3366">
        <v>-5</v>
      </c>
      <c r="I3366">
        <v>503.4</v>
      </c>
      <c r="J3366" t="str">
        <f>HYPERLINK("https://climate.onebuilding.org/WMO_Region_4_North_and_Central_America/CAN_Canada/QC_Quebec/CAN_QC_Parc.Natl.des.Pingualuit.719760_TMYx.2009-2023.zip")</f>
        <v>https://climate.onebuilding.org/WMO_Region_4_North_and_Central_America/CAN_Canada/QC_Quebec/CAN_QC_Parc.Natl.des.Pingualuit.719760_TMYx.2009-2023.zip</v>
      </c>
    </row>
    <row r="3367" spans="1:10" x14ac:dyDescent="0.25">
      <c r="A3367" t="s">
        <v>6</v>
      </c>
      <c r="B3367" t="s">
        <v>14</v>
      </c>
      <c r="C3367" t="s">
        <v>1691</v>
      </c>
      <c r="D3367">
        <v>719760</v>
      </c>
      <c r="E3367" t="s">
        <v>10</v>
      </c>
      <c r="F3367">
        <v>61.312800000000003</v>
      </c>
      <c r="G3367">
        <v>-73.668300000000002</v>
      </c>
      <c r="H3367">
        <v>-5</v>
      </c>
      <c r="I3367">
        <v>503.4</v>
      </c>
      <c r="J3367" t="str">
        <f>HYPERLINK("https://climate.onebuilding.org/WMO_Region_4_North_and_Central_America/CAN_Canada/QC_Quebec/CAN_QC_Parc.Natl.des.Pingualuit.719760_TMYx.zip")</f>
        <v>https://climate.onebuilding.org/WMO_Region_4_North_and_Central_America/CAN_Canada/QC_Quebec/CAN_QC_Parc.Natl.des.Pingualuit.719760_TMYx.zip</v>
      </c>
    </row>
    <row r="3368" spans="1:10" x14ac:dyDescent="0.25">
      <c r="A3368" t="s">
        <v>6</v>
      </c>
      <c r="B3368" t="s">
        <v>7</v>
      </c>
      <c r="C3368" t="s">
        <v>1693</v>
      </c>
      <c r="D3368">
        <v>719770</v>
      </c>
      <c r="E3368" t="s">
        <v>1694</v>
      </c>
      <c r="F3368">
        <v>68.800600000000003</v>
      </c>
      <c r="G3368">
        <v>-140.8475</v>
      </c>
      <c r="H3368">
        <v>-8</v>
      </c>
      <c r="I3368">
        <v>568</v>
      </c>
      <c r="J3368" t="str">
        <f>HYPERLINK("https://climate.onebuilding.org/WMO_Region_4_North_and_Central_America/CAN_Canada/YT_Yukon/CAN_YT_Margaret.Lake.719770_TMYx.2004-2018.zip")</f>
        <v>https://climate.onebuilding.org/WMO_Region_4_North_and_Central_America/CAN_Canada/YT_Yukon/CAN_YT_Margaret.Lake.719770_TMYx.2004-2018.zip</v>
      </c>
    </row>
    <row r="3369" spans="1:10" x14ac:dyDescent="0.25">
      <c r="A3369" t="s">
        <v>6</v>
      </c>
      <c r="B3369" t="s">
        <v>7</v>
      </c>
      <c r="C3369" t="s">
        <v>1693</v>
      </c>
      <c r="D3369">
        <v>719770</v>
      </c>
      <c r="E3369" t="s">
        <v>10</v>
      </c>
      <c r="F3369">
        <v>68.800600000000003</v>
      </c>
      <c r="G3369">
        <v>-140.8475</v>
      </c>
      <c r="H3369">
        <v>-8</v>
      </c>
      <c r="I3369">
        <v>568</v>
      </c>
      <c r="J3369" t="str">
        <f>HYPERLINK("https://climate.onebuilding.org/WMO_Region_4_North_and_Central_America/CAN_Canada/YT_Yukon/CAN_YT_Margaret.Lake.719770_TMYx.2007-2021.zip")</f>
        <v>https://climate.onebuilding.org/WMO_Region_4_North_and_Central_America/CAN_Canada/YT_Yukon/CAN_YT_Margaret.Lake.719770_TMYx.2007-2021.zip</v>
      </c>
    </row>
    <row r="3370" spans="1:10" x14ac:dyDescent="0.25">
      <c r="A3370" t="s">
        <v>6</v>
      </c>
      <c r="B3370" t="s">
        <v>7</v>
      </c>
      <c r="C3370" t="s">
        <v>1693</v>
      </c>
      <c r="D3370">
        <v>719770</v>
      </c>
      <c r="E3370" t="s">
        <v>10</v>
      </c>
      <c r="F3370">
        <v>68.800600000000003</v>
      </c>
      <c r="G3370">
        <v>-140.8475</v>
      </c>
      <c r="H3370">
        <v>-8</v>
      </c>
      <c r="I3370">
        <v>568</v>
      </c>
      <c r="J3370" t="str">
        <f>HYPERLINK("https://climate.onebuilding.org/WMO_Region_4_North_and_Central_America/CAN_Canada/YT_Yukon/CAN_YT_Margaret.Lake.719770_TMYx.2009-2023.zip")</f>
        <v>https://climate.onebuilding.org/WMO_Region_4_North_and_Central_America/CAN_Canada/YT_Yukon/CAN_YT_Margaret.Lake.719770_TMYx.2009-2023.zip</v>
      </c>
    </row>
    <row r="3371" spans="1:10" x14ac:dyDescent="0.25">
      <c r="A3371" t="s">
        <v>6</v>
      </c>
      <c r="B3371" t="s">
        <v>7</v>
      </c>
      <c r="C3371" t="s">
        <v>1693</v>
      </c>
      <c r="D3371">
        <v>719770</v>
      </c>
      <c r="E3371" t="s">
        <v>10</v>
      </c>
      <c r="F3371">
        <v>68.800600000000003</v>
      </c>
      <c r="G3371">
        <v>-140.8475</v>
      </c>
      <c r="H3371">
        <v>-8</v>
      </c>
      <c r="I3371">
        <v>568</v>
      </c>
      <c r="J3371" t="str">
        <f>HYPERLINK("https://climate.onebuilding.org/WMO_Region_4_North_and_Central_America/CAN_Canada/YT_Yukon/CAN_YT_Margaret.Lake.719770_TMYx.zip")</f>
        <v>https://climate.onebuilding.org/WMO_Region_4_North_and_Central_America/CAN_Canada/YT_Yukon/CAN_YT_Margaret.Lake.719770_TMYx.zip</v>
      </c>
    </row>
    <row r="3372" spans="1:10" x14ac:dyDescent="0.25">
      <c r="A3372" t="s">
        <v>6</v>
      </c>
      <c r="B3372" t="s">
        <v>7</v>
      </c>
      <c r="C3372" t="s">
        <v>1695</v>
      </c>
      <c r="D3372">
        <v>719780</v>
      </c>
      <c r="E3372" t="s">
        <v>1696</v>
      </c>
      <c r="F3372">
        <v>69.150000000000006</v>
      </c>
      <c r="G3372">
        <v>-140.15</v>
      </c>
      <c r="H3372">
        <v>-8</v>
      </c>
      <c r="I3372">
        <v>244</v>
      </c>
      <c r="J3372" t="str">
        <f>HYPERLINK("https://climate.onebuilding.org/WMO_Region_4_North_and_Central_America/CAN_Canada/YT_Yukon/CAN_YT_Ivvavik.Natl.Park.719780_TMYx.2004-2018.zip")</f>
        <v>https://climate.onebuilding.org/WMO_Region_4_North_and_Central_America/CAN_Canada/YT_Yukon/CAN_YT_Ivvavik.Natl.Park.719780_TMYx.2004-2018.zip</v>
      </c>
    </row>
    <row r="3373" spans="1:10" x14ac:dyDescent="0.25">
      <c r="A3373" t="s">
        <v>6</v>
      </c>
      <c r="B3373" t="s">
        <v>7</v>
      </c>
      <c r="C3373" t="s">
        <v>1695</v>
      </c>
      <c r="D3373">
        <v>719780</v>
      </c>
      <c r="E3373" t="s">
        <v>10</v>
      </c>
      <c r="F3373">
        <v>69.164439999999999</v>
      </c>
      <c r="G3373">
        <v>-140.15</v>
      </c>
      <c r="H3373">
        <v>-8</v>
      </c>
      <c r="I3373">
        <v>244</v>
      </c>
      <c r="J3373" t="str">
        <f>HYPERLINK("https://climate.onebuilding.org/WMO_Region_4_North_and_Central_America/CAN_Canada/YT_Yukon/CAN_YT_Ivvavik.Natl.Park.719780_TMYx.2007-2021.zip")</f>
        <v>https://climate.onebuilding.org/WMO_Region_4_North_and_Central_America/CAN_Canada/YT_Yukon/CAN_YT_Ivvavik.Natl.Park.719780_TMYx.2007-2021.zip</v>
      </c>
    </row>
    <row r="3374" spans="1:10" x14ac:dyDescent="0.25">
      <c r="A3374" t="s">
        <v>6</v>
      </c>
      <c r="B3374" t="s">
        <v>7</v>
      </c>
      <c r="C3374" t="s">
        <v>1695</v>
      </c>
      <c r="D3374">
        <v>719780</v>
      </c>
      <c r="E3374" t="s">
        <v>10</v>
      </c>
      <c r="F3374">
        <v>69.164439999999999</v>
      </c>
      <c r="G3374">
        <v>-140.15</v>
      </c>
      <c r="H3374">
        <v>-8</v>
      </c>
      <c r="I3374">
        <v>244</v>
      </c>
      <c r="J3374" t="str">
        <f>HYPERLINK("https://climate.onebuilding.org/WMO_Region_4_North_and_Central_America/CAN_Canada/YT_Yukon/CAN_YT_Ivvavik.Natl.Park.719780_TMYx.2009-2023.zip")</f>
        <v>https://climate.onebuilding.org/WMO_Region_4_North_and_Central_America/CAN_Canada/YT_Yukon/CAN_YT_Ivvavik.Natl.Park.719780_TMYx.2009-2023.zip</v>
      </c>
    </row>
    <row r="3375" spans="1:10" x14ac:dyDescent="0.25">
      <c r="A3375" t="s">
        <v>6</v>
      </c>
      <c r="B3375" t="s">
        <v>7</v>
      </c>
      <c r="C3375" t="s">
        <v>1695</v>
      </c>
      <c r="D3375">
        <v>719780</v>
      </c>
      <c r="E3375" t="s">
        <v>10</v>
      </c>
      <c r="F3375">
        <v>69.164439999999999</v>
      </c>
      <c r="G3375">
        <v>-140.15</v>
      </c>
      <c r="H3375">
        <v>-8</v>
      </c>
      <c r="I3375">
        <v>244</v>
      </c>
      <c r="J3375" t="str">
        <f>HYPERLINK("https://climate.onebuilding.org/WMO_Region_4_North_and_Central_America/CAN_Canada/YT_Yukon/CAN_YT_Ivvavik.Natl.Park.719780_TMYx.zip")</f>
        <v>https://climate.onebuilding.org/WMO_Region_4_North_and_Central_America/CAN_Canada/YT_Yukon/CAN_YT_Ivvavik.Natl.Park.719780_TMYx.zip</v>
      </c>
    </row>
    <row r="3376" spans="1:10" x14ac:dyDescent="0.25">
      <c r="A3376" t="s">
        <v>6</v>
      </c>
      <c r="B3376" t="s">
        <v>17</v>
      </c>
      <c r="C3376" t="s">
        <v>1697</v>
      </c>
      <c r="D3376">
        <v>719790</v>
      </c>
      <c r="E3376" t="s">
        <v>1698</v>
      </c>
      <c r="F3376">
        <v>53.795000000000002</v>
      </c>
      <c r="G3376">
        <v>-118.44670000000001</v>
      </c>
      <c r="H3376">
        <v>-7</v>
      </c>
      <c r="I3376">
        <v>1448</v>
      </c>
      <c r="J3376" t="str">
        <f>HYPERLINK("https://climate.onebuilding.org/WMO_Region_4_North_and_Central_America/CAN_Canada/AB_Alberta/CAN_AB_Hendrickson.Creek.719790_TMYx.2004-2018.zip")</f>
        <v>https://climate.onebuilding.org/WMO_Region_4_North_and_Central_America/CAN_Canada/AB_Alberta/CAN_AB_Hendrickson.Creek.719790_TMYx.2004-2018.zip</v>
      </c>
    </row>
    <row r="3377" spans="1:10" x14ac:dyDescent="0.25">
      <c r="A3377" t="s">
        <v>6</v>
      </c>
      <c r="B3377" t="s">
        <v>17</v>
      </c>
      <c r="C3377" t="s">
        <v>1697</v>
      </c>
      <c r="D3377">
        <v>719790</v>
      </c>
      <c r="E3377" t="s">
        <v>10</v>
      </c>
      <c r="F3377">
        <v>53.795000000000002</v>
      </c>
      <c r="G3377">
        <v>-118.44670000000001</v>
      </c>
      <c r="H3377">
        <v>-7</v>
      </c>
      <c r="I3377">
        <v>1448</v>
      </c>
      <c r="J3377" t="str">
        <f>HYPERLINK("https://climate.onebuilding.org/WMO_Region_4_North_and_Central_America/CAN_Canada/AB_Alberta/CAN_AB_Hendrickson.Creek.719790_TMYx.2007-2021.zip")</f>
        <v>https://climate.onebuilding.org/WMO_Region_4_North_and_Central_America/CAN_Canada/AB_Alberta/CAN_AB_Hendrickson.Creek.719790_TMYx.2007-2021.zip</v>
      </c>
    </row>
    <row r="3378" spans="1:10" x14ac:dyDescent="0.25">
      <c r="A3378" t="s">
        <v>6</v>
      </c>
      <c r="B3378" t="s">
        <v>17</v>
      </c>
      <c r="C3378" t="s">
        <v>1697</v>
      </c>
      <c r="D3378">
        <v>719790</v>
      </c>
      <c r="E3378" t="s">
        <v>10</v>
      </c>
      <c r="F3378">
        <v>53.795000000000002</v>
      </c>
      <c r="G3378">
        <v>-118.44670000000001</v>
      </c>
      <c r="H3378">
        <v>-7</v>
      </c>
      <c r="I3378">
        <v>1448</v>
      </c>
      <c r="J3378" t="str">
        <f>HYPERLINK("https://climate.onebuilding.org/WMO_Region_4_North_and_Central_America/CAN_Canada/AB_Alberta/CAN_AB_Hendrickson.Creek.719790_TMYx.2009-2023.zip")</f>
        <v>https://climate.onebuilding.org/WMO_Region_4_North_and_Central_America/CAN_Canada/AB_Alberta/CAN_AB_Hendrickson.Creek.719790_TMYx.2009-2023.zip</v>
      </c>
    </row>
    <row r="3379" spans="1:10" x14ac:dyDescent="0.25">
      <c r="A3379" t="s">
        <v>6</v>
      </c>
      <c r="B3379" t="s">
        <v>17</v>
      </c>
      <c r="C3379" t="s">
        <v>1697</v>
      </c>
      <c r="D3379">
        <v>719790</v>
      </c>
      <c r="E3379" t="s">
        <v>10</v>
      </c>
      <c r="F3379">
        <v>53.795000000000002</v>
      </c>
      <c r="G3379">
        <v>-118.44670000000001</v>
      </c>
      <c r="H3379">
        <v>-7</v>
      </c>
      <c r="I3379">
        <v>1448</v>
      </c>
      <c r="J3379" t="str">
        <f>HYPERLINK("https://climate.onebuilding.org/WMO_Region_4_North_and_Central_America/CAN_Canada/AB_Alberta/CAN_AB_Hendrickson.Creek.719790_TMYx.zip")</f>
        <v>https://climate.onebuilding.org/WMO_Region_4_North_and_Central_America/CAN_Canada/AB_Alberta/CAN_AB_Hendrickson.Creek.719790_TMYx.zip</v>
      </c>
    </row>
    <row r="3380" spans="1:10" x14ac:dyDescent="0.25">
      <c r="A3380" t="s">
        <v>6</v>
      </c>
      <c r="B3380" t="s">
        <v>48</v>
      </c>
      <c r="C3380" t="s">
        <v>1699</v>
      </c>
      <c r="D3380">
        <v>719800</v>
      </c>
      <c r="E3380" t="s">
        <v>1700</v>
      </c>
      <c r="F3380">
        <v>61.963099999999997</v>
      </c>
      <c r="G3380">
        <v>-127.2092</v>
      </c>
      <c r="H3380">
        <v>-7</v>
      </c>
      <c r="I3380">
        <v>618</v>
      </c>
      <c r="J3380" t="str">
        <f>HYPERLINK("https://climate.onebuilding.org/WMO_Region_4_North_and_Central_America/CAN_Canada/NT_Northwest_Territories/CAN_NT_Rabbit.Kettle.719800_TMYx.2004-2018.zip")</f>
        <v>https://climate.onebuilding.org/WMO_Region_4_North_and_Central_America/CAN_Canada/NT_Northwest_Territories/CAN_NT_Rabbit.Kettle.719800_TMYx.2004-2018.zip</v>
      </c>
    </row>
    <row r="3381" spans="1:10" x14ac:dyDescent="0.25">
      <c r="A3381" t="s">
        <v>6</v>
      </c>
      <c r="B3381" t="s">
        <v>48</v>
      </c>
      <c r="C3381" t="s">
        <v>1699</v>
      </c>
      <c r="D3381">
        <v>719800</v>
      </c>
      <c r="E3381" t="s">
        <v>10</v>
      </c>
      <c r="F3381">
        <v>61.963099999999997</v>
      </c>
      <c r="G3381">
        <v>-127.2092</v>
      </c>
      <c r="H3381">
        <v>-7</v>
      </c>
      <c r="I3381">
        <v>618</v>
      </c>
      <c r="J3381" t="str">
        <f>HYPERLINK("https://climate.onebuilding.org/WMO_Region_4_North_and_Central_America/CAN_Canada/NT_Northwest_Territories/CAN_NT_Rabbit.Kettle.719800_TMYx.2007-2021.zip")</f>
        <v>https://climate.onebuilding.org/WMO_Region_4_North_and_Central_America/CAN_Canada/NT_Northwest_Territories/CAN_NT_Rabbit.Kettle.719800_TMYx.2007-2021.zip</v>
      </c>
    </row>
    <row r="3382" spans="1:10" x14ac:dyDescent="0.25">
      <c r="A3382" t="s">
        <v>6</v>
      </c>
      <c r="B3382" t="s">
        <v>48</v>
      </c>
      <c r="C3382" t="s">
        <v>1699</v>
      </c>
      <c r="D3382">
        <v>719800</v>
      </c>
      <c r="E3382" t="s">
        <v>10</v>
      </c>
      <c r="F3382">
        <v>61.963099999999997</v>
      </c>
      <c r="G3382">
        <v>-127.2092</v>
      </c>
      <c r="H3382">
        <v>-7</v>
      </c>
      <c r="I3382">
        <v>618</v>
      </c>
      <c r="J3382" t="str">
        <f>HYPERLINK("https://climate.onebuilding.org/WMO_Region_4_North_and_Central_America/CAN_Canada/NT_Northwest_Territories/CAN_NT_Rabbit.Kettle.719800_TMYx.2009-2023.zip")</f>
        <v>https://climate.onebuilding.org/WMO_Region_4_North_and_Central_America/CAN_Canada/NT_Northwest_Territories/CAN_NT_Rabbit.Kettle.719800_TMYx.2009-2023.zip</v>
      </c>
    </row>
    <row r="3383" spans="1:10" x14ac:dyDescent="0.25">
      <c r="A3383" t="s">
        <v>6</v>
      </c>
      <c r="B3383" t="s">
        <v>48</v>
      </c>
      <c r="C3383" t="s">
        <v>1699</v>
      </c>
      <c r="D3383">
        <v>719800</v>
      </c>
      <c r="E3383" t="s">
        <v>10</v>
      </c>
      <c r="F3383">
        <v>61.963099999999997</v>
      </c>
      <c r="G3383">
        <v>-127.2092</v>
      </c>
      <c r="H3383">
        <v>-7</v>
      </c>
      <c r="I3383">
        <v>618</v>
      </c>
      <c r="J3383" t="str">
        <f>HYPERLINK("https://climate.onebuilding.org/WMO_Region_4_North_and_Central_America/CAN_Canada/NT_Northwest_Territories/CAN_NT_Rabbit.Kettle.719800_TMYx.zip")</f>
        <v>https://climate.onebuilding.org/WMO_Region_4_North_and_Central_America/CAN_Canada/NT_Northwest_Territories/CAN_NT_Rabbit.Kettle.719800_TMYx.zip</v>
      </c>
    </row>
    <row r="3384" spans="1:10" x14ac:dyDescent="0.25">
      <c r="A3384" t="s">
        <v>6</v>
      </c>
      <c r="B3384" t="s">
        <v>17</v>
      </c>
      <c r="C3384" t="s">
        <v>1701</v>
      </c>
      <c r="D3384">
        <v>719810</v>
      </c>
      <c r="E3384" t="s">
        <v>1702</v>
      </c>
      <c r="F3384">
        <v>50.5</v>
      </c>
      <c r="G3384">
        <v>-114</v>
      </c>
      <c r="H3384">
        <v>-8</v>
      </c>
      <c r="I3384">
        <v>1143</v>
      </c>
      <c r="J3384" t="str">
        <f>HYPERLINK("https://climate.onebuilding.org/WMO_Region_4_North_and_Central_America/CAN_Canada/AB_Alberta/CAN_AB_Azure.719810_TMYx.2004-2018.zip")</f>
        <v>https://climate.onebuilding.org/WMO_Region_4_North_and_Central_America/CAN_Canada/AB_Alberta/CAN_AB_Azure.719810_TMYx.2004-2018.zip</v>
      </c>
    </row>
    <row r="3385" spans="1:10" x14ac:dyDescent="0.25">
      <c r="A3385" t="s">
        <v>6</v>
      </c>
      <c r="B3385" t="s">
        <v>17</v>
      </c>
      <c r="C3385" t="s">
        <v>1701</v>
      </c>
      <c r="D3385">
        <v>719810</v>
      </c>
      <c r="E3385" t="s">
        <v>10</v>
      </c>
      <c r="F3385">
        <v>50.511899999999997</v>
      </c>
      <c r="G3385">
        <v>-114.01309999999999</v>
      </c>
      <c r="H3385">
        <v>-7</v>
      </c>
      <c r="I3385">
        <v>1143</v>
      </c>
      <c r="J3385" t="str">
        <f>HYPERLINK("https://climate.onebuilding.org/WMO_Region_4_North_and_Central_America/CAN_Canada/AB_Alberta/CAN_AB_Azure.719810_TMYx.2007-2021.zip")</f>
        <v>https://climate.onebuilding.org/WMO_Region_4_North_and_Central_America/CAN_Canada/AB_Alberta/CAN_AB_Azure.719810_TMYx.2007-2021.zip</v>
      </c>
    </row>
    <row r="3386" spans="1:10" x14ac:dyDescent="0.25">
      <c r="A3386" t="s">
        <v>6</v>
      </c>
      <c r="B3386" t="s">
        <v>17</v>
      </c>
      <c r="C3386" t="s">
        <v>1701</v>
      </c>
      <c r="D3386">
        <v>719810</v>
      </c>
      <c r="E3386" t="s">
        <v>10</v>
      </c>
      <c r="F3386">
        <v>50.511899999999997</v>
      </c>
      <c r="G3386">
        <v>-114.01309999999999</v>
      </c>
      <c r="H3386">
        <v>-7</v>
      </c>
      <c r="I3386">
        <v>1143</v>
      </c>
      <c r="J3386" t="str">
        <f>HYPERLINK("https://climate.onebuilding.org/WMO_Region_4_North_and_Central_America/CAN_Canada/AB_Alberta/CAN_AB_Azure.719810_TMYx.2009-2023.zip")</f>
        <v>https://climate.onebuilding.org/WMO_Region_4_North_and_Central_America/CAN_Canada/AB_Alberta/CAN_AB_Azure.719810_TMYx.2009-2023.zip</v>
      </c>
    </row>
    <row r="3387" spans="1:10" x14ac:dyDescent="0.25">
      <c r="A3387" t="s">
        <v>6</v>
      </c>
      <c r="B3387" t="s">
        <v>17</v>
      </c>
      <c r="C3387" t="s">
        <v>1701</v>
      </c>
      <c r="D3387">
        <v>719810</v>
      </c>
      <c r="E3387" t="s">
        <v>10</v>
      </c>
      <c r="F3387">
        <v>50.511899999999997</v>
      </c>
      <c r="G3387">
        <v>-114.01309999999999</v>
      </c>
      <c r="H3387">
        <v>-7</v>
      </c>
      <c r="I3387">
        <v>1143</v>
      </c>
      <c r="J3387" t="str">
        <f>HYPERLINK("https://climate.onebuilding.org/WMO_Region_4_North_and_Central_America/CAN_Canada/AB_Alberta/CAN_AB_Azure.719810_TMYx.zip")</f>
        <v>https://climate.onebuilding.org/WMO_Region_4_North_and_Central_America/CAN_Canada/AB_Alberta/CAN_AB_Azure.719810_TMYx.zip</v>
      </c>
    </row>
    <row r="3388" spans="1:10" x14ac:dyDescent="0.25">
      <c r="A3388" t="s">
        <v>6</v>
      </c>
      <c r="B3388" t="s">
        <v>17</v>
      </c>
      <c r="C3388" t="s">
        <v>1703</v>
      </c>
      <c r="D3388">
        <v>719820</v>
      </c>
      <c r="E3388" t="s">
        <v>1704</v>
      </c>
      <c r="F3388">
        <v>50.706699999999998</v>
      </c>
      <c r="G3388">
        <v>-114.15170000000001</v>
      </c>
      <c r="H3388">
        <v>-8</v>
      </c>
      <c r="I3388">
        <v>1156</v>
      </c>
      <c r="J3388" t="str">
        <f>HYPERLINK("https://climate.onebuilding.org/WMO_Region_4_North_and_Central_America/CAN_Canada/AB_Alberta/CAN_AB_Black.Diamond.719820_TMYx.2004-2018.zip")</f>
        <v>https://climate.onebuilding.org/WMO_Region_4_North_and_Central_America/CAN_Canada/AB_Alberta/CAN_AB_Black.Diamond.719820_TMYx.2004-2018.zip</v>
      </c>
    </row>
    <row r="3389" spans="1:10" x14ac:dyDescent="0.25">
      <c r="A3389" t="s">
        <v>6</v>
      </c>
      <c r="B3389" t="s">
        <v>17</v>
      </c>
      <c r="C3389" t="s">
        <v>1703</v>
      </c>
      <c r="D3389">
        <v>719820</v>
      </c>
      <c r="E3389" t="s">
        <v>10</v>
      </c>
      <c r="F3389">
        <v>50.706699999999998</v>
      </c>
      <c r="G3389">
        <v>-114.15170000000001</v>
      </c>
      <c r="H3389">
        <v>-7</v>
      </c>
      <c r="I3389">
        <v>1156</v>
      </c>
      <c r="J3389" t="str">
        <f>HYPERLINK("https://climate.onebuilding.org/WMO_Region_4_North_and_Central_America/CAN_Canada/AB_Alberta/CAN_AB_Black.Diamond.719820_TMYx.2007-2021.zip")</f>
        <v>https://climate.onebuilding.org/WMO_Region_4_North_and_Central_America/CAN_Canada/AB_Alberta/CAN_AB_Black.Diamond.719820_TMYx.2007-2021.zip</v>
      </c>
    </row>
    <row r="3390" spans="1:10" x14ac:dyDescent="0.25">
      <c r="A3390" t="s">
        <v>6</v>
      </c>
      <c r="B3390" t="s">
        <v>17</v>
      </c>
      <c r="C3390" t="s">
        <v>1703</v>
      </c>
      <c r="D3390">
        <v>719820</v>
      </c>
      <c r="E3390" t="s">
        <v>10</v>
      </c>
      <c r="F3390">
        <v>50.706699999999998</v>
      </c>
      <c r="G3390">
        <v>-114.15170000000001</v>
      </c>
      <c r="H3390">
        <v>-7</v>
      </c>
      <c r="I3390">
        <v>1156</v>
      </c>
      <c r="J3390" t="str">
        <f>HYPERLINK("https://climate.onebuilding.org/WMO_Region_4_North_and_Central_America/CAN_Canada/AB_Alberta/CAN_AB_Black.Diamond.719820_TMYx.2009-2023.zip")</f>
        <v>https://climate.onebuilding.org/WMO_Region_4_North_and_Central_America/CAN_Canada/AB_Alberta/CAN_AB_Black.Diamond.719820_TMYx.2009-2023.zip</v>
      </c>
    </row>
    <row r="3391" spans="1:10" x14ac:dyDescent="0.25">
      <c r="A3391" t="s">
        <v>6</v>
      </c>
      <c r="B3391" t="s">
        <v>17</v>
      </c>
      <c r="C3391" t="s">
        <v>1703</v>
      </c>
      <c r="D3391">
        <v>719820</v>
      </c>
      <c r="E3391" t="s">
        <v>10</v>
      </c>
      <c r="F3391">
        <v>50.706699999999998</v>
      </c>
      <c r="G3391">
        <v>-114.15170000000001</v>
      </c>
      <c r="H3391">
        <v>-7</v>
      </c>
      <c r="I3391">
        <v>1156</v>
      </c>
      <c r="J3391" t="str">
        <f>HYPERLINK("https://climate.onebuilding.org/WMO_Region_4_North_and_Central_America/CAN_Canada/AB_Alberta/CAN_AB_Black.Diamond.719820_TMYx.zip")</f>
        <v>https://climate.onebuilding.org/WMO_Region_4_North_and_Central_America/CAN_Canada/AB_Alberta/CAN_AB_Black.Diamond.719820_TMYx.zip</v>
      </c>
    </row>
    <row r="3392" spans="1:10" x14ac:dyDescent="0.25">
      <c r="A3392" t="s">
        <v>6</v>
      </c>
      <c r="B3392" t="s">
        <v>42</v>
      </c>
      <c r="C3392" t="s">
        <v>1705</v>
      </c>
      <c r="D3392">
        <v>719830</v>
      </c>
      <c r="E3392" t="s">
        <v>1706</v>
      </c>
      <c r="F3392">
        <v>75.3767</v>
      </c>
      <c r="G3392">
        <v>-105.715</v>
      </c>
      <c r="H3392">
        <v>-7</v>
      </c>
      <c r="I3392">
        <v>15</v>
      </c>
      <c r="J3392" t="str">
        <f>HYPERLINK("https://climate.onebuilding.org/WMO_Region_4_North_and_Central_America/CAN_Canada/NU_Nunavut/CAN_NU_Rea.Point.AP.719830_TMYx.2004-2018.zip")</f>
        <v>https://climate.onebuilding.org/WMO_Region_4_North_and_Central_America/CAN_Canada/NU_Nunavut/CAN_NU_Rea.Point.AP.719830_TMYx.2004-2018.zip</v>
      </c>
    </row>
    <row r="3393" spans="1:10" x14ac:dyDescent="0.25">
      <c r="A3393" t="s">
        <v>6</v>
      </c>
      <c r="B3393" t="s">
        <v>42</v>
      </c>
      <c r="C3393" t="s">
        <v>1705</v>
      </c>
      <c r="D3393">
        <v>719830</v>
      </c>
      <c r="E3393" t="s">
        <v>10</v>
      </c>
      <c r="F3393">
        <v>75.3767</v>
      </c>
      <c r="G3393">
        <v>-105.715</v>
      </c>
      <c r="H3393">
        <v>-7</v>
      </c>
      <c r="I3393">
        <v>15</v>
      </c>
      <c r="J3393" t="str">
        <f>HYPERLINK("https://climate.onebuilding.org/WMO_Region_4_North_and_Central_America/CAN_Canada/NU_Nunavut/CAN_NU_Rea.Point.AP.719830_TMYx.2007-2021.zip")</f>
        <v>https://climate.onebuilding.org/WMO_Region_4_North_and_Central_America/CAN_Canada/NU_Nunavut/CAN_NU_Rea.Point.AP.719830_TMYx.2007-2021.zip</v>
      </c>
    </row>
    <row r="3394" spans="1:10" x14ac:dyDescent="0.25">
      <c r="A3394" t="s">
        <v>6</v>
      </c>
      <c r="B3394" t="s">
        <v>42</v>
      </c>
      <c r="C3394" t="s">
        <v>1705</v>
      </c>
      <c r="D3394">
        <v>719830</v>
      </c>
      <c r="E3394" t="s">
        <v>10</v>
      </c>
      <c r="F3394">
        <v>75.3767</v>
      </c>
      <c r="G3394">
        <v>-105.715</v>
      </c>
      <c r="H3394">
        <v>-7</v>
      </c>
      <c r="I3394">
        <v>15</v>
      </c>
      <c r="J3394" t="str">
        <f>HYPERLINK("https://climate.onebuilding.org/WMO_Region_4_North_and_Central_America/CAN_Canada/NU_Nunavut/CAN_NU_Rea.Point.AP.719830_TMYx.2009-2023.zip")</f>
        <v>https://climate.onebuilding.org/WMO_Region_4_North_and_Central_America/CAN_Canada/NU_Nunavut/CAN_NU_Rea.Point.AP.719830_TMYx.2009-2023.zip</v>
      </c>
    </row>
    <row r="3395" spans="1:10" x14ac:dyDescent="0.25">
      <c r="A3395" t="s">
        <v>6</v>
      </c>
      <c r="B3395" t="s">
        <v>42</v>
      </c>
      <c r="C3395" t="s">
        <v>1705</v>
      </c>
      <c r="D3395">
        <v>719830</v>
      </c>
      <c r="E3395" t="s">
        <v>10</v>
      </c>
      <c r="F3395">
        <v>75.3767</v>
      </c>
      <c r="G3395">
        <v>-105.715</v>
      </c>
      <c r="H3395">
        <v>-7</v>
      </c>
      <c r="I3395">
        <v>15</v>
      </c>
      <c r="J3395" t="str">
        <f>HYPERLINK("https://climate.onebuilding.org/WMO_Region_4_North_and_Central_America/CAN_Canada/NU_Nunavut/CAN_NU_Rea.Point.AP.719830_TMYx.zip")</f>
        <v>https://climate.onebuilding.org/WMO_Region_4_North_and_Central_America/CAN_Canada/NU_Nunavut/CAN_NU_Rea.Point.AP.719830_TMYx.zip</v>
      </c>
    </row>
    <row r="3396" spans="1:10" x14ac:dyDescent="0.25">
      <c r="A3396" t="s">
        <v>6</v>
      </c>
      <c r="B3396" t="s">
        <v>48</v>
      </c>
      <c r="C3396" t="s">
        <v>1707</v>
      </c>
      <c r="D3396">
        <v>719840</v>
      </c>
      <c r="E3396" t="s">
        <v>1708</v>
      </c>
      <c r="F3396">
        <v>69.357799999999997</v>
      </c>
      <c r="G3396">
        <v>-124.0825</v>
      </c>
      <c r="H3396">
        <v>-7</v>
      </c>
      <c r="I3396">
        <v>6.3</v>
      </c>
      <c r="J3396" t="str">
        <f>HYPERLINK("https://climate.onebuilding.org/WMO_Region_4_North_and_Central_America/CAN_Canada/NT_Northwest_Territories/CAN_NT_Paulatuk-Ruben.AP.719840_TMYx.2004-2018.zip")</f>
        <v>https://climate.onebuilding.org/WMO_Region_4_North_and_Central_America/CAN_Canada/NT_Northwest_Territories/CAN_NT_Paulatuk-Ruben.AP.719840_TMYx.2004-2018.zip</v>
      </c>
    </row>
    <row r="3397" spans="1:10" x14ac:dyDescent="0.25">
      <c r="A3397" t="s">
        <v>6</v>
      </c>
      <c r="B3397" t="s">
        <v>48</v>
      </c>
      <c r="C3397" t="s">
        <v>1707</v>
      </c>
      <c r="D3397">
        <v>719840</v>
      </c>
      <c r="E3397" t="s">
        <v>10</v>
      </c>
      <c r="F3397">
        <v>69.35472</v>
      </c>
      <c r="G3397">
        <v>-124.0767</v>
      </c>
      <c r="H3397">
        <v>-7</v>
      </c>
      <c r="I3397">
        <v>6.3</v>
      </c>
      <c r="J3397" t="str">
        <f>HYPERLINK("https://climate.onebuilding.org/WMO_Region_4_North_and_Central_America/CAN_Canada/NT_Northwest_Territories/CAN_NT_Paulatuk-Ruben.AP.719840_TMYx.2007-2021.zip")</f>
        <v>https://climate.onebuilding.org/WMO_Region_4_North_and_Central_America/CAN_Canada/NT_Northwest_Territories/CAN_NT_Paulatuk-Ruben.AP.719840_TMYx.2007-2021.zip</v>
      </c>
    </row>
    <row r="3398" spans="1:10" x14ac:dyDescent="0.25">
      <c r="A3398" t="s">
        <v>6</v>
      </c>
      <c r="B3398" t="s">
        <v>48</v>
      </c>
      <c r="C3398" t="s">
        <v>1707</v>
      </c>
      <c r="D3398">
        <v>719840</v>
      </c>
      <c r="E3398" t="s">
        <v>10</v>
      </c>
      <c r="F3398">
        <v>69.35472</v>
      </c>
      <c r="G3398">
        <v>-124.0767</v>
      </c>
      <c r="H3398">
        <v>-7</v>
      </c>
      <c r="I3398">
        <v>6.3</v>
      </c>
      <c r="J3398" t="str">
        <f>HYPERLINK("https://climate.onebuilding.org/WMO_Region_4_North_and_Central_America/CAN_Canada/NT_Northwest_Territories/CAN_NT_Paulatuk-Ruben.AP.719840_TMYx.2009-2023.zip")</f>
        <v>https://climate.onebuilding.org/WMO_Region_4_North_and_Central_America/CAN_Canada/NT_Northwest_Territories/CAN_NT_Paulatuk-Ruben.AP.719840_TMYx.2009-2023.zip</v>
      </c>
    </row>
    <row r="3399" spans="1:10" x14ac:dyDescent="0.25">
      <c r="A3399" t="s">
        <v>6</v>
      </c>
      <c r="B3399" t="s">
        <v>48</v>
      </c>
      <c r="C3399" t="s">
        <v>1707</v>
      </c>
      <c r="D3399">
        <v>719840</v>
      </c>
      <c r="E3399" t="s">
        <v>10</v>
      </c>
      <c r="F3399">
        <v>69.35472</v>
      </c>
      <c r="G3399">
        <v>-124.0767</v>
      </c>
      <c r="H3399">
        <v>-7</v>
      </c>
      <c r="I3399">
        <v>6.3</v>
      </c>
      <c r="J3399" t="str">
        <f>HYPERLINK("https://climate.onebuilding.org/WMO_Region_4_North_and_Central_America/CAN_Canada/NT_Northwest_Territories/CAN_NT_Paulatuk-Ruben.AP.719840_TMYx.zip")</f>
        <v>https://climate.onebuilding.org/WMO_Region_4_North_and_Central_America/CAN_Canada/NT_Northwest_Territories/CAN_NT_Paulatuk-Ruben.AP.719840_TMYx.zip</v>
      </c>
    </row>
    <row r="3400" spans="1:10" x14ac:dyDescent="0.25">
      <c r="A3400" t="s">
        <v>6</v>
      </c>
      <c r="B3400" t="s">
        <v>48</v>
      </c>
      <c r="C3400" t="s">
        <v>1709</v>
      </c>
      <c r="D3400">
        <v>719850</v>
      </c>
      <c r="E3400" t="s">
        <v>1710</v>
      </c>
      <c r="F3400">
        <v>69.433300000000003</v>
      </c>
      <c r="G3400">
        <v>-133.01669999999999</v>
      </c>
      <c r="H3400">
        <v>-7</v>
      </c>
      <c r="I3400">
        <v>5.5</v>
      </c>
      <c r="J3400" t="str">
        <f>HYPERLINK("https://climate.onebuilding.org/WMO_Region_4_North_and_Central_America/CAN_Canada/NT_Northwest_Territories/CAN_NT_Tuktoyaktuk-Gruben.AP.719850_TMYx.2004-2018.zip")</f>
        <v>https://climate.onebuilding.org/WMO_Region_4_North_and_Central_America/CAN_Canada/NT_Northwest_Territories/CAN_NT_Tuktoyaktuk-Gruben.AP.719850_TMYx.2004-2018.zip</v>
      </c>
    </row>
    <row r="3401" spans="1:10" x14ac:dyDescent="0.25">
      <c r="A3401" t="s">
        <v>6</v>
      </c>
      <c r="B3401" t="s">
        <v>48</v>
      </c>
      <c r="C3401" t="s">
        <v>1709</v>
      </c>
      <c r="D3401">
        <v>719850</v>
      </c>
      <c r="E3401" t="s">
        <v>10</v>
      </c>
      <c r="F3401">
        <v>69.436000000000007</v>
      </c>
      <c r="G3401">
        <v>-133.023</v>
      </c>
      <c r="H3401">
        <v>-7</v>
      </c>
      <c r="I3401">
        <v>5.5</v>
      </c>
      <c r="J3401" t="str">
        <f>HYPERLINK("https://climate.onebuilding.org/WMO_Region_4_North_and_Central_America/CAN_Canada/NT_Northwest_Territories/CAN_NT_Tuktoyaktuk-Gruben.AP.719850_TMYx.2007-2021.zip")</f>
        <v>https://climate.onebuilding.org/WMO_Region_4_North_and_Central_America/CAN_Canada/NT_Northwest_Territories/CAN_NT_Tuktoyaktuk-Gruben.AP.719850_TMYx.2007-2021.zip</v>
      </c>
    </row>
    <row r="3402" spans="1:10" x14ac:dyDescent="0.25">
      <c r="A3402" t="s">
        <v>6</v>
      </c>
      <c r="B3402" t="s">
        <v>48</v>
      </c>
      <c r="C3402" t="s">
        <v>1709</v>
      </c>
      <c r="D3402">
        <v>719850</v>
      </c>
      <c r="E3402" t="s">
        <v>10</v>
      </c>
      <c r="F3402">
        <v>69.436000000000007</v>
      </c>
      <c r="G3402">
        <v>-133.023</v>
      </c>
      <c r="H3402">
        <v>-7</v>
      </c>
      <c r="I3402">
        <v>5.5</v>
      </c>
      <c r="J3402" t="str">
        <f>HYPERLINK("https://climate.onebuilding.org/WMO_Region_4_North_and_Central_America/CAN_Canada/NT_Northwest_Territories/CAN_NT_Tuktoyaktuk-Gruben.AP.719850_TMYx.2009-2023.zip")</f>
        <v>https://climate.onebuilding.org/WMO_Region_4_North_and_Central_America/CAN_Canada/NT_Northwest_Territories/CAN_NT_Tuktoyaktuk-Gruben.AP.719850_TMYx.2009-2023.zip</v>
      </c>
    </row>
    <row r="3403" spans="1:10" x14ac:dyDescent="0.25">
      <c r="A3403" t="s">
        <v>6</v>
      </c>
      <c r="B3403" t="s">
        <v>48</v>
      </c>
      <c r="C3403" t="s">
        <v>1709</v>
      </c>
      <c r="D3403">
        <v>719850</v>
      </c>
      <c r="E3403" t="s">
        <v>10</v>
      </c>
      <c r="F3403">
        <v>69.436000000000007</v>
      </c>
      <c r="G3403">
        <v>-133.023</v>
      </c>
      <c r="H3403">
        <v>-7</v>
      </c>
      <c r="I3403">
        <v>5.5</v>
      </c>
      <c r="J3403" t="str">
        <f>HYPERLINK("https://climate.onebuilding.org/WMO_Region_4_North_and_Central_America/CAN_Canada/NT_Northwest_Territories/CAN_NT_Tuktoyaktuk-Gruben.AP.719850_TMYx.zip")</f>
        <v>https://climate.onebuilding.org/WMO_Region_4_North_and_Central_America/CAN_Canada/NT_Northwest_Territories/CAN_NT_Tuktoyaktuk-Gruben.AP.719850_TMYx.zip</v>
      </c>
    </row>
    <row r="3404" spans="1:10" x14ac:dyDescent="0.25">
      <c r="A3404" t="s">
        <v>6</v>
      </c>
      <c r="B3404" t="s">
        <v>17</v>
      </c>
      <c r="C3404" t="s">
        <v>1711</v>
      </c>
      <c r="D3404">
        <v>719860</v>
      </c>
      <c r="E3404" t="s">
        <v>1712</v>
      </c>
      <c r="F3404">
        <v>50.81</v>
      </c>
      <c r="G3404">
        <v>-111.0056</v>
      </c>
      <c r="H3404">
        <v>-7</v>
      </c>
      <c r="I3404">
        <v>795</v>
      </c>
      <c r="J3404" t="str">
        <f>HYPERLINK("https://climate.onebuilding.org/WMO_Region_4_North_and_Central_America/CAN_Canada/AB_Alberta/CAN_AB_Atlee.AgCM.719860_TMYx.2004-2018.zip")</f>
        <v>https://climate.onebuilding.org/WMO_Region_4_North_and_Central_America/CAN_Canada/AB_Alberta/CAN_AB_Atlee.AgCM.719860_TMYx.2004-2018.zip</v>
      </c>
    </row>
    <row r="3405" spans="1:10" x14ac:dyDescent="0.25">
      <c r="A3405" t="s">
        <v>6</v>
      </c>
      <c r="B3405" t="s">
        <v>17</v>
      </c>
      <c r="C3405" t="s">
        <v>1711</v>
      </c>
      <c r="D3405">
        <v>719860</v>
      </c>
      <c r="E3405" t="s">
        <v>10</v>
      </c>
      <c r="F3405">
        <v>50.81</v>
      </c>
      <c r="G3405">
        <v>-111.0056</v>
      </c>
      <c r="H3405">
        <v>-7</v>
      </c>
      <c r="I3405">
        <v>795</v>
      </c>
      <c r="J3405" t="str">
        <f>HYPERLINK("https://climate.onebuilding.org/WMO_Region_4_North_and_Central_America/CAN_Canada/AB_Alberta/CAN_AB_Atlee.AgCM.719860_TMYx.2007-2021.zip")</f>
        <v>https://climate.onebuilding.org/WMO_Region_4_North_and_Central_America/CAN_Canada/AB_Alberta/CAN_AB_Atlee.AgCM.719860_TMYx.2007-2021.zip</v>
      </c>
    </row>
    <row r="3406" spans="1:10" x14ac:dyDescent="0.25">
      <c r="A3406" t="s">
        <v>6</v>
      </c>
      <c r="B3406" t="s">
        <v>17</v>
      </c>
      <c r="C3406" t="s">
        <v>1711</v>
      </c>
      <c r="D3406">
        <v>719860</v>
      </c>
      <c r="E3406" t="s">
        <v>10</v>
      </c>
      <c r="F3406">
        <v>50.81</v>
      </c>
      <c r="G3406">
        <v>-111.0056</v>
      </c>
      <c r="H3406">
        <v>-7</v>
      </c>
      <c r="I3406">
        <v>795</v>
      </c>
      <c r="J3406" t="str">
        <f>HYPERLINK("https://climate.onebuilding.org/WMO_Region_4_North_and_Central_America/CAN_Canada/AB_Alberta/CAN_AB_Atlee.AgCM.719860_TMYx.2009-2023.zip")</f>
        <v>https://climate.onebuilding.org/WMO_Region_4_North_and_Central_America/CAN_Canada/AB_Alberta/CAN_AB_Atlee.AgCM.719860_TMYx.2009-2023.zip</v>
      </c>
    </row>
    <row r="3407" spans="1:10" x14ac:dyDescent="0.25">
      <c r="A3407" t="s">
        <v>6</v>
      </c>
      <c r="B3407" t="s">
        <v>17</v>
      </c>
      <c r="C3407" t="s">
        <v>1711</v>
      </c>
      <c r="D3407">
        <v>719860</v>
      </c>
      <c r="E3407" t="s">
        <v>10</v>
      </c>
      <c r="F3407">
        <v>50.81</v>
      </c>
      <c r="G3407">
        <v>-111.0056</v>
      </c>
      <c r="H3407">
        <v>-7</v>
      </c>
      <c r="I3407">
        <v>795</v>
      </c>
      <c r="J3407" t="str">
        <f>HYPERLINK("https://climate.onebuilding.org/WMO_Region_4_North_and_Central_America/CAN_Canada/AB_Alberta/CAN_AB_Atlee.AgCM.719860_TMYx.zip")</f>
        <v>https://climate.onebuilding.org/WMO_Region_4_North_and_Central_America/CAN_Canada/AB_Alberta/CAN_AB_Atlee.AgCM.719860_TMYx.zip</v>
      </c>
    </row>
    <row r="3408" spans="1:10" x14ac:dyDescent="0.25">
      <c r="A3408" t="s">
        <v>6</v>
      </c>
      <c r="B3408" t="s">
        <v>65</v>
      </c>
      <c r="C3408" t="s">
        <v>1713</v>
      </c>
      <c r="D3408">
        <v>719870</v>
      </c>
      <c r="E3408" t="s">
        <v>1714</v>
      </c>
      <c r="F3408">
        <v>47.05</v>
      </c>
      <c r="G3408">
        <v>-63.982999999999997</v>
      </c>
      <c r="H3408">
        <v>-4</v>
      </c>
      <c r="I3408">
        <v>8</v>
      </c>
      <c r="J3408" t="str">
        <f>HYPERLINK("https://climate.onebuilding.org/WMO_Region_4_North_and_Central_America/CAN_Canada/PE_Prince_Edward_Island/CAN_PE_North.Cape.719870_TMYx.2004-2018.zip")</f>
        <v>https://climate.onebuilding.org/WMO_Region_4_North_and_Central_America/CAN_Canada/PE_Prince_Edward_Island/CAN_PE_North.Cape.719870_TMYx.2004-2018.zip</v>
      </c>
    </row>
    <row r="3409" spans="1:10" x14ac:dyDescent="0.25">
      <c r="A3409" t="s">
        <v>6</v>
      </c>
      <c r="B3409" t="s">
        <v>65</v>
      </c>
      <c r="C3409" t="s">
        <v>1713</v>
      </c>
      <c r="D3409">
        <v>719870</v>
      </c>
      <c r="E3409" t="s">
        <v>10</v>
      </c>
      <c r="F3409">
        <v>47.058059999999998</v>
      </c>
      <c r="G3409">
        <v>-63.996940000000002</v>
      </c>
      <c r="H3409">
        <v>-4</v>
      </c>
      <c r="I3409">
        <v>8</v>
      </c>
      <c r="J3409" t="str">
        <f>HYPERLINK("https://climate.onebuilding.org/WMO_Region_4_North_and_Central_America/CAN_Canada/PE_Prince_Edward_Island/CAN_PE_North.Cape.719870_TMYx.2007-2021.zip")</f>
        <v>https://climate.onebuilding.org/WMO_Region_4_North_and_Central_America/CAN_Canada/PE_Prince_Edward_Island/CAN_PE_North.Cape.719870_TMYx.2007-2021.zip</v>
      </c>
    </row>
    <row r="3410" spans="1:10" x14ac:dyDescent="0.25">
      <c r="A3410" t="s">
        <v>6</v>
      </c>
      <c r="B3410" t="s">
        <v>65</v>
      </c>
      <c r="C3410" t="s">
        <v>1713</v>
      </c>
      <c r="D3410">
        <v>719870</v>
      </c>
      <c r="E3410" t="s">
        <v>10</v>
      </c>
      <c r="F3410">
        <v>47.058059999999998</v>
      </c>
      <c r="G3410">
        <v>-63.996940000000002</v>
      </c>
      <c r="H3410">
        <v>-4</v>
      </c>
      <c r="I3410">
        <v>8</v>
      </c>
      <c r="J3410" t="str">
        <f>HYPERLINK("https://climate.onebuilding.org/WMO_Region_4_North_and_Central_America/CAN_Canada/PE_Prince_Edward_Island/CAN_PE_North.Cape.719870_TMYx.2009-2023.zip")</f>
        <v>https://climate.onebuilding.org/WMO_Region_4_North_and_Central_America/CAN_Canada/PE_Prince_Edward_Island/CAN_PE_North.Cape.719870_TMYx.2009-2023.zip</v>
      </c>
    </row>
    <row r="3411" spans="1:10" x14ac:dyDescent="0.25">
      <c r="A3411" t="s">
        <v>6</v>
      </c>
      <c r="B3411" t="s">
        <v>65</v>
      </c>
      <c r="C3411" t="s">
        <v>1713</v>
      </c>
      <c r="D3411">
        <v>719870</v>
      </c>
      <c r="E3411" t="s">
        <v>10</v>
      </c>
      <c r="F3411">
        <v>47.058059999999998</v>
      </c>
      <c r="G3411">
        <v>-63.996940000000002</v>
      </c>
      <c r="H3411">
        <v>-4</v>
      </c>
      <c r="I3411">
        <v>8</v>
      </c>
      <c r="J3411" t="str">
        <f>HYPERLINK("https://climate.onebuilding.org/WMO_Region_4_North_and_Central_America/CAN_Canada/PE_Prince_Edward_Island/CAN_PE_North.Cape.719870_TMYx.zip")</f>
        <v>https://climate.onebuilding.org/WMO_Region_4_North_and_Central_America/CAN_Canada/PE_Prince_Edward_Island/CAN_PE_North.Cape.719870_TMYx.zip</v>
      </c>
    </row>
    <row r="3412" spans="1:10" x14ac:dyDescent="0.25">
      <c r="A3412" t="s">
        <v>6</v>
      </c>
      <c r="B3412" t="s">
        <v>68</v>
      </c>
      <c r="C3412" t="s">
        <v>1715</v>
      </c>
      <c r="D3412">
        <v>719880</v>
      </c>
      <c r="E3412" t="s">
        <v>1716</v>
      </c>
      <c r="F3412">
        <v>44.283000000000001</v>
      </c>
      <c r="G3412">
        <v>-66.349999999999994</v>
      </c>
      <c r="H3412">
        <v>-4</v>
      </c>
      <c r="I3412">
        <v>16</v>
      </c>
      <c r="J3412" t="str">
        <f>HYPERLINK("https://climate.onebuilding.org/WMO_Region_4_North_and_Central_America/CAN_Canada/NS_Nova_Scotia/CAN_NS_Brier.Island.719880_TMYx.2004-2018.zip")</f>
        <v>https://climate.onebuilding.org/WMO_Region_4_North_and_Central_America/CAN_Canada/NS_Nova_Scotia/CAN_NS_Brier.Island.719880_TMYx.2004-2018.zip</v>
      </c>
    </row>
    <row r="3413" spans="1:10" x14ac:dyDescent="0.25">
      <c r="A3413" t="s">
        <v>6</v>
      </c>
      <c r="B3413" t="s">
        <v>68</v>
      </c>
      <c r="C3413" t="s">
        <v>1715</v>
      </c>
      <c r="D3413">
        <v>719880</v>
      </c>
      <c r="E3413" t="s">
        <v>10</v>
      </c>
      <c r="F3413">
        <v>44.286000000000001</v>
      </c>
      <c r="G3413">
        <v>-66.343000000000004</v>
      </c>
      <c r="H3413">
        <v>-4</v>
      </c>
      <c r="I3413">
        <v>16</v>
      </c>
      <c r="J3413" t="str">
        <f>HYPERLINK("https://climate.onebuilding.org/WMO_Region_4_North_and_Central_America/CAN_Canada/NS_Nova_Scotia/CAN_NS_Brier.Island.719880_TMYx.2007-2021.zip")</f>
        <v>https://climate.onebuilding.org/WMO_Region_4_North_and_Central_America/CAN_Canada/NS_Nova_Scotia/CAN_NS_Brier.Island.719880_TMYx.2007-2021.zip</v>
      </c>
    </row>
    <row r="3414" spans="1:10" x14ac:dyDescent="0.25">
      <c r="A3414" t="s">
        <v>6</v>
      </c>
      <c r="B3414" t="s">
        <v>68</v>
      </c>
      <c r="C3414" t="s">
        <v>1715</v>
      </c>
      <c r="D3414">
        <v>719880</v>
      </c>
      <c r="E3414" t="s">
        <v>10</v>
      </c>
      <c r="F3414">
        <v>44.286000000000001</v>
      </c>
      <c r="G3414">
        <v>-66.343000000000004</v>
      </c>
      <c r="H3414">
        <v>-4</v>
      </c>
      <c r="I3414">
        <v>16</v>
      </c>
      <c r="J3414" t="str">
        <f>HYPERLINK("https://climate.onebuilding.org/WMO_Region_4_North_and_Central_America/CAN_Canada/NS_Nova_Scotia/CAN_NS_Brier.Island.719880_TMYx.2009-2023.zip")</f>
        <v>https://climate.onebuilding.org/WMO_Region_4_North_and_Central_America/CAN_Canada/NS_Nova_Scotia/CAN_NS_Brier.Island.719880_TMYx.2009-2023.zip</v>
      </c>
    </row>
    <row r="3415" spans="1:10" x14ac:dyDescent="0.25">
      <c r="A3415" t="s">
        <v>6</v>
      </c>
      <c r="B3415" t="s">
        <v>68</v>
      </c>
      <c r="C3415" t="s">
        <v>1715</v>
      </c>
      <c r="D3415">
        <v>719880</v>
      </c>
      <c r="E3415" t="s">
        <v>10</v>
      </c>
      <c r="F3415">
        <v>44.286000000000001</v>
      </c>
      <c r="G3415">
        <v>-66.343000000000004</v>
      </c>
      <c r="H3415">
        <v>-4</v>
      </c>
      <c r="I3415">
        <v>16</v>
      </c>
      <c r="J3415" t="str">
        <f>HYPERLINK("https://climate.onebuilding.org/WMO_Region_4_North_and_Central_America/CAN_Canada/NS_Nova_Scotia/CAN_NS_Brier.Island.719880_TMYx.zip")</f>
        <v>https://climate.onebuilding.org/WMO_Region_4_North_and_Central_America/CAN_Canada/NS_Nova_Scotia/CAN_NS_Brier.Island.719880_TMYx.zip</v>
      </c>
    </row>
    <row r="3416" spans="1:10" x14ac:dyDescent="0.25">
      <c r="A3416" t="s">
        <v>6</v>
      </c>
      <c r="B3416" t="s">
        <v>48</v>
      </c>
      <c r="C3416" t="s">
        <v>1717</v>
      </c>
      <c r="D3416">
        <v>719890</v>
      </c>
      <c r="E3416" t="s">
        <v>1718</v>
      </c>
      <c r="F3416">
        <v>76.237499999999997</v>
      </c>
      <c r="G3416">
        <v>-119.3472</v>
      </c>
      <c r="H3416">
        <v>-7</v>
      </c>
      <c r="I3416">
        <v>1.5</v>
      </c>
      <c r="J3416" t="str">
        <f>HYPERLINK("https://climate.onebuilding.org/WMO_Region_4_North_and_Central_America/CAN_Canada/NT_Northwest_Territories/CAN_NT_Mould.Bay.AP.719890_TMYx.2004-2018.zip")</f>
        <v>https://climate.onebuilding.org/WMO_Region_4_North_and_Central_America/CAN_Canada/NT_Northwest_Territories/CAN_NT_Mould.Bay.AP.719890_TMYx.2004-2018.zip</v>
      </c>
    </row>
    <row r="3417" spans="1:10" x14ac:dyDescent="0.25">
      <c r="A3417" t="s">
        <v>6</v>
      </c>
      <c r="B3417" t="s">
        <v>48</v>
      </c>
      <c r="C3417" t="s">
        <v>1717</v>
      </c>
      <c r="D3417">
        <v>719890</v>
      </c>
      <c r="E3417" t="s">
        <v>10</v>
      </c>
      <c r="F3417">
        <v>76.237499999999997</v>
      </c>
      <c r="G3417">
        <v>-119.3472</v>
      </c>
      <c r="H3417">
        <v>-7</v>
      </c>
      <c r="I3417">
        <v>1.5</v>
      </c>
      <c r="J3417" t="str">
        <f>HYPERLINK("https://climate.onebuilding.org/WMO_Region_4_North_and_Central_America/CAN_Canada/NT_Northwest_Territories/CAN_NT_Mould.Bay.AP.719890_TMYx.2007-2021.zip")</f>
        <v>https://climate.onebuilding.org/WMO_Region_4_North_and_Central_America/CAN_Canada/NT_Northwest_Territories/CAN_NT_Mould.Bay.AP.719890_TMYx.2007-2021.zip</v>
      </c>
    </row>
    <row r="3418" spans="1:10" x14ac:dyDescent="0.25">
      <c r="A3418" t="s">
        <v>6</v>
      </c>
      <c r="B3418" t="s">
        <v>48</v>
      </c>
      <c r="C3418" t="s">
        <v>1717</v>
      </c>
      <c r="D3418">
        <v>719890</v>
      </c>
      <c r="E3418" t="s">
        <v>10</v>
      </c>
      <c r="F3418">
        <v>76.237499999999997</v>
      </c>
      <c r="G3418">
        <v>-119.3472</v>
      </c>
      <c r="H3418">
        <v>-7</v>
      </c>
      <c r="I3418">
        <v>1.5</v>
      </c>
      <c r="J3418" t="str">
        <f>HYPERLINK("https://climate.onebuilding.org/WMO_Region_4_North_and_Central_America/CAN_Canada/NT_Northwest_Territories/CAN_NT_Mould.Bay.AP.719890_TMYx.2009-2023.zip")</f>
        <v>https://climate.onebuilding.org/WMO_Region_4_North_and_Central_America/CAN_Canada/NT_Northwest_Territories/CAN_NT_Mould.Bay.AP.719890_TMYx.2009-2023.zip</v>
      </c>
    </row>
    <row r="3419" spans="1:10" x14ac:dyDescent="0.25">
      <c r="A3419" t="s">
        <v>6</v>
      </c>
      <c r="B3419" t="s">
        <v>48</v>
      </c>
      <c r="C3419" t="s">
        <v>1717</v>
      </c>
      <c r="D3419">
        <v>719890</v>
      </c>
      <c r="E3419" t="s">
        <v>10</v>
      </c>
      <c r="F3419">
        <v>76.237499999999997</v>
      </c>
      <c r="G3419">
        <v>-119.3472</v>
      </c>
      <c r="H3419">
        <v>-7</v>
      </c>
      <c r="I3419">
        <v>1.5</v>
      </c>
      <c r="J3419" t="str">
        <f>HYPERLINK("https://climate.onebuilding.org/WMO_Region_4_North_and_Central_America/CAN_Canada/NT_Northwest_Territories/CAN_NT_Mould.Bay.AP.719890_TMYx.zip")</f>
        <v>https://climate.onebuilding.org/WMO_Region_4_North_and_Central_America/CAN_Canada/NT_Northwest_Territories/CAN_NT_Mould.Bay.AP.719890_TMYx.zip</v>
      </c>
    </row>
    <row r="3420" spans="1:10" x14ac:dyDescent="0.25">
      <c r="A3420" t="s">
        <v>6</v>
      </c>
      <c r="B3420" t="s">
        <v>7</v>
      </c>
      <c r="C3420" t="s">
        <v>1719</v>
      </c>
      <c r="D3420">
        <v>719900</v>
      </c>
      <c r="E3420" t="s">
        <v>1720</v>
      </c>
      <c r="F3420">
        <v>63.243600000000001</v>
      </c>
      <c r="G3420">
        <v>-130.03720000000001</v>
      </c>
      <c r="H3420">
        <v>-8</v>
      </c>
      <c r="I3420">
        <v>1379</v>
      </c>
      <c r="J3420" t="str">
        <f>HYPERLINK("https://climate.onebuilding.org/WMO_Region_4_North_and_Central_America/CAN_Canada/YT_Yukon/CAN_YT_Macmillan.Pass.719900_TMYx.2004-2018.zip")</f>
        <v>https://climate.onebuilding.org/WMO_Region_4_North_and_Central_America/CAN_Canada/YT_Yukon/CAN_YT_Macmillan.Pass.719900_TMYx.2004-2018.zip</v>
      </c>
    </row>
    <row r="3421" spans="1:10" x14ac:dyDescent="0.25">
      <c r="A3421" t="s">
        <v>6</v>
      </c>
      <c r="B3421" t="s">
        <v>7</v>
      </c>
      <c r="C3421" t="s">
        <v>1719</v>
      </c>
      <c r="D3421">
        <v>719900</v>
      </c>
      <c r="E3421" t="s">
        <v>10</v>
      </c>
      <c r="F3421">
        <v>63.243600000000001</v>
      </c>
      <c r="G3421">
        <v>-130.03720000000001</v>
      </c>
      <c r="H3421">
        <v>-8</v>
      </c>
      <c r="I3421">
        <v>1379</v>
      </c>
      <c r="J3421" t="str">
        <f>HYPERLINK("https://climate.onebuilding.org/WMO_Region_4_North_and_Central_America/CAN_Canada/YT_Yukon/CAN_YT_Macmillan.Pass.719900_TMYx.2007-2021.zip")</f>
        <v>https://climate.onebuilding.org/WMO_Region_4_North_and_Central_America/CAN_Canada/YT_Yukon/CAN_YT_Macmillan.Pass.719900_TMYx.2007-2021.zip</v>
      </c>
    </row>
    <row r="3422" spans="1:10" x14ac:dyDescent="0.25">
      <c r="A3422" t="s">
        <v>6</v>
      </c>
      <c r="B3422" t="s">
        <v>7</v>
      </c>
      <c r="C3422" t="s">
        <v>1719</v>
      </c>
      <c r="D3422">
        <v>719900</v>
      </c>
      <c r="E3422" t="s">
        <v>10</v>
      </c>
      <c r="F3422">
        <v>63.243600000000001</v>
      </c>
      <c r="G3422">
        <v>-130.03720000000001</v>
      </c>
      <c r="H3422">
        <v>-8</v>
      </c>
      <c r="I3422">
        <v>1379</v>
      </c>
      <c r="J3422" t="str">
        <f>HYPERLINK("https://climate.onebuilding.org/WMO_Region_4_North_and_Central_America/CAN_Canada/YT_Yukon/CAN_YT_Macmillan.Pass.719900_TMYx.2009-2023.zip")</f>
        <v>https://climate.onebuilding.org/WMO_Region_4_North_and_Central_America/CAN_Canada/YT_Yukon/CAN_YT_Macmillan.Pass.719900_TMYx.2009-2023.zip</v>
      </c>
    </row>
    <row r="3423" spans="1:10" x14ac:dyDescent="0.25">
      <c r="A3423" t="s">
        <v>6</v>
      </c>
      <c r="B3423" t="s">
        <v>7</v>
      </c>
      <c r="C3423" t="s">
        <v>1719</v>
      </c>
      <c r="D3423">
        <v>719900</v>
      </c>
      <c r="E3423" t="s">
        <v>10</v>
      </c>
      <c r="F3423">
        <v>63.243600000000001</v>
      </c>
      <c r="G3423">
        <v>-130.03720000000001</v>
      </c>
      <c r="H3423">
        <v>-8</v>
      </c>
      <c r="I3423">
        <v>1379</v>
      </c>
      <c r="J3423" t="str">
        <f>HYPERLINK("https://climate.onebuilding.org/WMO_Region_4_North_and_Central_America/CAN_Canada/YT_Yukon/CAN_YT_Macmillan.Pass.719900_TMYx.zip")</f>
        <v>https://climate.onebuilding.org/WMO_Region_4_North_and_Central_America/CAN_Canada/YT_Yukon/CAN_YT_Macmillan.Pass.719900_TMYx.zip</v>
      </c>
    </row>
    <row r="3424" spans="1:10" x14ac:dyDescent="0.25">
      <c r="A3424" t="s">
        <v>6</v>
      </c>
      <c r="B3424" t="s">
        <v>55</v>
      </c>
      <c r="C3424" t="s">
        <v>1721</v>
      </c>
      <c r="D3424">
        <v>719990</v>
      </c>
      <c r="E3424" t="s">
        <v>1722</v>
      </c>
      <c r="F3424">
        <v>50.683599999999998</v>
      </c>
      <c r="G3424">
        <v>-121.9342</v>
      </c>
      <c r="H3424">
        <v>-8</v>
      </c>
      <c r="I3424">
        <v>243.3</v>
      </c>
      <c r="J3424" t="str">
        <f>HYPERLINK("https://climate.onebuilding.org/WMO_Region_4_North_and_Central_America/CAN_Canada/BC_British_Columbia/CAN_BC_Lillooet.719990_TMYx.2004-2018.zip")</f>
        <v>https://climate.onebuilding.org/WMO_Region_4_North_and_Central_America/CAN_Canada/BC_British_Columbia/CAN_BC_Lillooet.719990_TMYx.2004-2018.zip</v>
      </c>
    </row>
    <row r="3425" spans="1:10" x14ac:dyDescent="0.25">
      <c r="A3425" t="s">
        <v>6</v>
      </c>
      <c r="B3425" t="s">
        <v>55</v>
      </c>
      <c r="C3425" t="s">
        <v>1721</v>
      </c>
      <c r="D3425">
        <v>719990</v>
      </c>
      <c r="E3425" t="s">
        <v>10</v>
      </c>
      <c r="F3425">
        <v>50.683599999999998</v>
      </c>
      <c r="G3425">
        <v>-121.9342</v>
      </c>
      <c r="H3425">
        <v>-8</v>
      </c>
      <c r="I3425">
        <v>243.3</v>
      </c>
      <c r="J3425" t="str">
        <f>HYPERLINK("https://climate.onebuilding.org/WMO_Region_4_North_and_Central_America/CAN_Canada/BC_British_Columbia/CAN_BC_Lillooet.719990_TMYx.2007-2021.zip")</f>
        <v>https://climate.onebuilding.org/WMO_Region_4_North_and_Central_America/CAN_Canada/BC_British_Columbia/CAN_BC_Lillooet.719990_TMYx.2007-2021.zip</v>
      </c>
    </row>
    <row r="3426" spans="1:10" x14ac:dyDescent="0.25">
      <c r="A3426" t="s">
        <v>6</v>
      </c>
      <c r="B3426" t="s">
        <v>55</v>
      </c>
      <c r="C3426" t="s">
        <v>1721</v>
      </c>
      <c r="D3426">
        <v>719990</v>
      </c>
      <c r="E3426" t="s">
        <v>10</v>
      </c>
      <c r="F3426">
        <v>50.683599999999998</v>
      </c>
      <c r="G3426">
        <v>-121.9342</v>
      </c>
      <c r="H3426">
        <v>-8</v>
      </c>
      <c r="I3426">
        <v>243.3</v>
      </c>
      <c r="J3426" t="str">
        <f>HYPERLINK("https://climate.onebuilding.org/WMO_Region_4_North_and_Central_America/CAN_Canada/BC_British_Columbia/CAN_BC_Lillooet.719990_TMYx.2009-2023.zip")</f>
        <v>https://climate.onebuilding.org/WMO_Region_4_North_and_Central_America/CAN_Canada/BC_British_Columbia/CAN_BC_Lillooet.719990_TMYx.2009-2023.zip</v>
      </c>
    </row>
    <row r="3427" spans="1:10" x14ac:dyDescent="0.25">
      <c r="A3427" t="s">
        <v>6</v>
      </c>
      <c r="B3427" t="s">
        <v>55</v>
      </c>
      <c r="C3427" t="s">
        <v>1721</v>
      </c>
      <c r="D3427">
        <v>719990</v>
      </c>
      <c r="E3427" t="s">
        <v>10</v>
      </c>
      <c r="F3427">
        <v>50.683599999999998</v>
      </c>
      <c r="G3427">
        <v>-121.9342</v>
      </c>
      <c r="H3427">
        <v>-8</v>
      </c>
      <c r="I3427">
        <v>243.3</v>
      </c>
      <c r="J3427" t="str">
        <f>HYPERLINK("https://climate.onebuilding.org/WMO_Region_4_North_and_Central_America/CAN_Canada/BC_British_Columbia/CAN_BC_Lillooet.719990_TMYx.zip")</f>
        <v>https://climate.onebuilding.org/WMO_Region_4_North_and_Central_America/CAN_Canada/BC_British_Columbia/CAN_BC_Lillooet.719990_TMYx.zip</v>
      </c>
    </row>
    <row r="3428" spans="1:10" x14ac:dyDescent="0.25">
      <c r="A3428" t="s">
        <v>6</v>
      </c>
      <c r="B3428" t="s">
        <v>58</v>
      </c>
      <c r="C3428" t="s">
        <v>1723</v>
      </c>
      <c r="D3428">
        <v>729200</v>
      </c>
      <c r="E3428" t="s">
        <v>10</v>
      </c>
      <c r="F3428">
        <v>57.35</v>
      </c>
      <c r="G3428">
        <v>-107.133</v>
      </c>
      <c r="H3428">
        <v>-6</v>
      </c>
      <c r="I3428">
        <v>499</v>
      </c>
      <c r="J3428" t="str">
        <f>HYPERLINK("https://climate.onebuilding.org/WMO_Region_4_North_and_Central_America/CAN_Canada/SK_Saskatchewan/CAN_SK_Cree.Lake.AP.729200_TMYx.zip")</f>
        <v>https://climate.onebuilding.org/WMO_Region_4_North_and_Central_America/CAN_Canada/SK_Saskatchewan/CAN_SK_Cree.Lake.AP.729200_TMYx.zip</v>
      </c>
    </row>
    <row r="3429" spans="1:10" x14ac:dyDescent="0.25">
      <c r="A3429" t="s">
        <v>6</v>
      </c>
      <c r="B3429" t="s">
        <v>55</v>
      </c>
      <c r="C3429" t="s">
        <v>1724</v>
      </c>
      <c r="D3429">
        <v>741050</v>
      </c>
      <c r="E3429" t="s">
        <v>10</v>
      </c>
      <c r="F3429">
        <v>50</v>
      </c>
      <c r="G3429">
        <v>-127.417</v>
      </c>
      <c r="H3429">
        <v>-8</v>
      </c>
      <c r="I3429">
        <v>9</v>
      </c>
      <c r="J3429" t="str">
        <f>HYPERLINK("https://climate.onebuilding.org/WMO_Region_4_North_and_Central_America/CAN_Canada/BC_British_Columbia/CAN_BC_Spring.Island-Vancouver.Island.741050_TMYx.zip")</f>
        <v>https://climate.onebuilding.org/WMO_Region_4_North_and_Central_America/CAN_Canada/BC_British_Columbia/CAN_BC_Spring.Island-Vancouver.Island.741050_TMYx.zip</v>
      </c>
    </row>
    <row r="3430" spans="1:10" x14ac:dyDescent="0.25">
      <c r="A3430" t="s">
        <v>6</v>
      </c>
      <c r="B3430" t="s">
        <v>42</v>
      </c>
      <c r="C3430" t="s">
        <v>1725</v>
      </c>
      <c r="D3430">
        <v>749142</v>
      </c>
      <c r="E3430" t="s">
        <v>10</v>
      </c>
      <c r="F3430">
        <v>67.151219999999995</v>
      </c>
      <c r="G3430">
        <v>-62.482390000000002</v>
      </c>
      <c r="H3430">
        <v>-5</v>
      </c>
      <c r="I3430">
        <v>448</v>
      </c>
      <c r="J3430" t="str">
        <f>HYPERLINK("https://climate.onebuilding.org/WMO_Region_4_North_and_Central_America/CAN_Canada/NU_Nunavut/CAN_NU_Padloping.Island.749142_TMYx.zip")</f>
        <v>https://climate.onebuilding.org/WMO_Region_4_North_and_Central_America/CAN_Canada/NU_Nunavut/CAN_NU_Padloping.Island.749142_TMYx.zip</v>
      </c>
    </row>
    <row r="3431" spans="1:10" x14ac:dyDescent="0.25">
      <c r="A3431" t="s">
        <v>6</v>
      </c>
      <c r="B3431" t="s">
        <v>14</v>
      </c>
      <c r="C3431" t="s">
        <v>1726</v>
      </c>
      <c r="D3431" t="s">
        <v>1727</v>
      </c>
      <c r="E3431" t="s">
        <v>1728</v>
      </c>
      <c r="F3431">
        <v>55.283000000000001</v>
      </c>
      <c r="G3431">
        <v>-77.75</v>
      </c>
      <c r="H3431">
        <v>-5</v>
      </c>
      <c r="I3431">
        <v>10</v>
      </c>
      <c r="J3431" t="str">
        <f>HYPERLINK("https://climate.onebuilding.org/WMO_Region_4_North_and_Central_America/CAN_Canada/QC_Quebec/CAN_QC_Kuujjuarapik.AP.CAN001_TMYx.2004-2018.zip")</f>
        <v>https://climate.onebuilding.org/WMO_Region_4_North_and_Central_America/CAN_Canada/QC_Quebec/CAN_QC_Kuujjuarapik.AP.CAN001_TMYx.2004-2018.zip</v>
      </c>
    </row>
    <row r="3432" spans="1:10" x14ac:dyDescent="0.25">
      <c r="A3432" t="s">
        <v>6</v>
      </c>
      <c r="B3432" t="s">
        <v>14</v>
      </c>
      <c r="C3432" t="s">
        <v>1726</v>
      </c>
      <c r="D3432" t="s">
        <v>1727</v>
      </c>
      <c r="E3432" t="s">
        <v>10</v>
      </c>
      <c r="F3432">
        <v>55.283000000000001</v>
      </c>
      <c r="G3432">
        <v>-77.75</v>
      </c>
      <c r="H3432">
        <v>-5</v>
      </c>
      <c r="I3432">
        <v>10</v>
      </c>
      <c r="J3432" t="str">
        <f>HYPERLINK("https://climate.onebuilding.org/WMO_Region_4_North_and_Central_America/CAN_Canada/QC_Quebec/CAN_QC_Kuujjuarapik.AP.CAN001_TMYx.2007-2021.zip")</f>
        <v>https://climate.onebuilding.org/WMO_Region_4_North_and_Central_America/CAN_Canada/QC_Quebec/CAN_QC_Kuujjuarapik.AP.CAN001_TMYx.2007-2021.zip</v>
      </c>
    </row>
    <row r="3433" spans="1:10" x14ac:dyDescent="0.25">
      <c r="A3433" t="s">
        <v>6</v>
      </c>
      <c r="B3433" t="s">
        <v>14</v>
      </c>
      <c r="C3433" t="s">
        <v>1726</v>
      </c>
      <c r="D3433" t="s">
        <v>1727</v>
      </c>
      <c r="E3433" t="s">
        <v>10</v>
      </c>
      <c r="F3433">
        <v>55.283000000000001</v>
      </c>
      <c r="G3433">
        <v>-77.75</v>
      </c>
      <c r="H3433">
        <v>-5</v>
      </c>
      <c r="I3433">
        <v>10</v>
      </c>
      <c r="J3433" t="str">
        <f>HYPERLINK("https://climate.onebuilding.org/WMO_Region_4_North_and_Central_America/CAN_Canada/QC_Quebec/CAN_QC_Kuujjuarapik.AP.CAN001_TMYx.2009-2023.zip")</f>
        <v>https://climate.onebuilding.org/WMO_Region_4_North_and_Central_America/CAN_Canada/QC_Quebec/CAN_QC_Kuujjuarapik.AP.CAN001_TMYx.2009-2023.zip</v>
      </c>
    </row>
    <row r="3434" spans="1:10" x14ac:dyDescent="0.25">
      <c r="A3434" t="s">
        <v>6</v>
      </c>
      <c r="B3434" t="s">
        <v>14</v>
      </c>
      <c r="C3434" t="s">
        <v>1726</v>
      </c>
      <c r="D3434" t="s">
        <v>1727</v>
      </c>
      <c r="E3434" t="s">
        <v>10</v>
      </c>
      <c r="F3434">
        <v>55.283000000000001</v>
      </c>
      <c r="G3434">
        <v>-77.75</v>
      </c>
      <c r="H3434">
        <v>-5</v>
      </c>
      <c r="I3434">
        <v>10</v>
      </c>
      <c r="J3434" t="str">
        <f>HYPERLINK("https://climate.onebuilding.org/WMO_Region_4_North_and_Central_America/CAN_Canada/QC_Quebec/CAN_QC_Kuujjuarapik.AP.CAN001_TMYx.zip")</f>
        <v>https://climate.onebuilding.org/WMO_Region_4_North_and_Central_America/CAN_Canada/QC_Quebec/CAN_QC_Kuujjuarapik.AP.CAN001_TMYx.zip</v>
      </c>
    </row>
    <row r="3435" spans="1:10" x14ac:dyDescent="0.25">
      <c r="A3435" t="s">
        <v>6</v>
      </c>
      <c r="B3435" t="s">
        <v>14</v>
      </c>
      <c r="C3435" t="s">
        <v>1729</v>
      </c>
      <c r="D3435" t="s">
        <v>1730</v>
      </c>
      <c r="E3435" t="s">
        <v>1731</v>
      </c>
      <c r="F3435">
        <v>45.683</v>
      </c>
      <c r="G3435">
        <v>-74.033000000000001</v>
      </c>
      <c r="H3435">
        <v>-5</v>
      </c>
      <c r="I3435">
        <v>82.3</v>
      </c>
      <c r="J3435" t="str">
        <f>HYPERLINK("https://climate.onebuilding.org/WMO_Region_4_North_and_Central_America/CAN_Canada/QC_Quebec/CAN_QC_Montreal-Mirabel.Intl.AP.CAN002_TMYx.2004-2018.zip")</f>
        <v>https://climate.onebuilding.org/WMO_Region_4_North_and_Central_America/CAN_Canada/QC_Quebec/CAN_QC_Montreal-Mirabel.Intl.AP.CAN002_TMYx.2004-2018.zip</v>
      </c>
    </row>
    <row r="3436" spans="1:10" x14ac:dyDescent="0.25">
      <c r="A3436" t="s">
        <v>6</v>
      </c>
      <c r="B3436" t="s">
        <v>14</v>
      </c>
      <c r="C3436" t="s">
        <v>1729</v>
      </c>
      <c r="D3436" t="s">
        <v>1730</v>
      </c>
      <c r="E3436" t="s">
        <v>10</v>
      </c>
      <c r="F3436">
        <v>45.683</v>
      </c>
      <c r="G3436">
        <v>-77.765000000000001</v>
      </c>
      <c r="H3436">
        <v>-5</v>
      </c>
      <c r="I3436">
        <v>82.3</v>
      </c>
      <c r="J3436" t="str">
        <f>HYPERLINK("https://climate.onebuilding.org/WMO_Region_4_North_and_Central_America/CAN_Canada/QC_Quebec/CAN_QC_Montreal-Mirabel.Intl.AP.CAN002_TMYx.2007-2021.zip")</f>
        <v>https://climate.onebuilding.org/WMO_Region_4_North_and_Central_America/CAN_Canada/QC_Quebec/CAN_QC_Montreal-Mirabel.Intl.AP.CAN002_TMYx.2007-2021.zip</v>
      </c>
    </row>
    <row r="3437" spans="1:10" x14ac:dyDescent="0.25">
      <c r="A3437" t="s">
        <v>6</v>
      </c>
      <c r="B3437" t="s">
        <v>14</v>
      </c>
      <c r="C3437" t="s">
        <v>1729</v>
      </c>
      <c r="D3437" t="s">
        <v>1730</v>
      </c>
      <c r="E3437" t="s">
        <v>10</v>
      </c>
      <c r="F3437">
        <v>45.683</v>
      </c>
      <c r="G3437">
        <v>-77.765000000000001</v>
      </c>
      <c r="H3437">
        <v>-5</v>
      </c>
      <c r="I3437">
        <v>82.3</v>
      </c>
      <c r="J3437" t="str">
        <f>HYPERLINK("https://climate.onebuilding.org/WMO_Region_4_North_and_Central_America/CAN_Canada/QC_Quebec/CAN_QC_Montreal-Mirabel.Intl.AP.CAN002_TMYx.2009-2023.zip")</f>
        <v>https://climate.onebuilding.org/WMO_Region_4_North_and_Central_America/CAN_Canada/QC_Quebec/CAN_QC_Montreal-Mirabel.Intl.AP.CAN002_TMYx.2009-2023.zip</v>
      </c>
    </row>
    <row r="3438" spans="1:10" x14ac:dyDescent="0.25">
      <c r="A3438" t="s">
        <v>6</v>
      </c>
      <c r="B3438" t="s">
        <v>14</v>
      </c>
      <c r="C3438" t="s">
        <v>1729</v>
      </c>
      <c r="D3438" t="s">
        <v>1730</v>
      </c>
      <c r="E3438" t="s">
        <v>10</v>
      </c>
      <c r="F3438">
        <v>45.683</v>
      </c>
      <c r="G3438">
        <v>-77.765000000000001</v>
      </c>
      <c r="H3438">
        <v>-5</v>
      </c>
      <c r="I3438">
        <v>82.3</v>
      </c>
      <c r="J3438" t="str">
        <f>HYPERLINK("https://climate.onebuilding.org/WMO_Region_4_North_and_Central_America/CAN_Canada/QC_Quebec/CAN_QC_Montreal-Mirabel.Intl.AP.CAN002_TMYx.zip")</f>
        <v>https://climate.onebuilding.org/WMO_Region_4_North_and_Central_America/CAN_Canada/QC_Quebec/CAN_QC_Montreal-Mirabel.Intl.AP.CAN002_TMYx.zip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Reg4_Canada_TMYx_EPW_Processing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2024-08-22T14:09:05Z</dcterms:created>
  <dcterms:modified xsi:type="dcterms:W3CDTF">2024-08-22T14:11:33Z</dcterms:modified>
</cp:coreProperties>
</file>