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BA1840BD-1E44-4A1C-9758-AF12E3E8091A}" xr6:coauthVersionLast="47" xr6:coauthVersionMax="47" xr10:uidLastSave="{00000000-0000-0000-0000-000000000000}"/>
  <bookViews>
    <workbookView xWindow="5145" yWindow="3915" windowWidth="20160" windowHeight="13170" xr2:uid="{775E8498-9173-4828-86D8-675167369C61}"/>
  </bookViews>
  <sheets>
    <sheet name="Normals_EPW_Processing_location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</calcChain>
</file>

<file path=xl/sharedStrings.xml><?xml version="1.0" encoding="utf-8"?>
<sst xmlns="http://schemas.openxmlformats.org/spreadsheetml/2006/main" count="7962" uniqueCount="1235">
  <si>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</si>
  <si>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</si>
  <si>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</si>
  <si>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</si>
  <si>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</si>
  <si>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</si>
  <si>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</si>
  <si>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</si>
  <si>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</si>
  <si>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</si>
  <si>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ASM</t>
  </si>
  <si>
    <t>ET</t>
  </si>
  <si>
    <t>Tafuna-Pago.Pago.Intl.AP</t>
  </si>
  <si>
    <t>Climate-Normals</t>
  </si>
  <si>
    <t>FSM</t>
  </si>
  <si>
    <t>CH</t>
  </si>
  <si>
    <t>Chuuk.Intl.AP</t>
  </si>
  <si>
    <t>PO</t>
  </si>
  <si>
    <t>Pohnpei.Intl.AP</t>
  </si>
  <si>
    <t>YA</t>
  </si>
  <si>
    <t>Yap.Intl.AP</t>
  </si>
  <si>
    <t>GUM</t>
  </si>
  <si>
    <t>TM</t>
  </si>
  <si>
    <t>Tamuning-Won.Pat.Intl.AP</t>
  </si>
  <si>
    <t>YG</t>
  </si>
  <si>
    <t>Andersen.AFB</t>
  </si>
  <si>
    <t>MHL</t>
  </si>
  <si>
    <t>MH</t>
  </si>
  <si>
    <t>Kwajalein-Bucholz.AAF</t>
  </si>
  <si>
    <t>MNP</t>
  </si>
  <si>
    <t>SA</t>
  </si>
  <si>
    <t>Saipan.Intl.AP</t>
  </si>
  <si>
    <t>PLW</t>
  </si>
  <si>
    <t>KO</t>
  </si>
  <si>
    <t>Babelthuap.Koror.AP</t>
  </si>
  <si>
    <t>USA</t>
  </si>
  <si>
    <t>AK</t>
  </si>
  <si>
    <t>Anchorage-JB.Elmendorf-Richardson</t>
  </si>
  <si>
    <t>Anchorage-Lake.Hood.Seaplane.Base</t>
  </si>
  <si>
    <t>Anchorage-Merrill.Field.AP</t>
  </si>
  <si>
    <t>Anchorage.Stevens.Intl.AP</t>
  </si>
  <si>
    <t>Aniak.AP</t>
  </si>
  <si>
    <t>Annette.Island.AP</t>
  </si>
  <si>
    <t>Barrow-Post-Rogers.Meml.AP</t>
  </si>
  <si>
    <t>Bethel.AP</t>
  </si>
  <si>
    <t>Bettles.AP</t>
  </si>
  <si>
    <t>Big.Delta-Ft.Greely.Allen.AAF</t>
  </si>
  <si>
    <t>Cape.Lisburne.AFS</t>
  </si>
  <si>
    <t>Cape.Newenham.LRRS.AP</t>
  </si>
  <si>
    <t>Cold.Bay.AP</t>
  </si>
  <si>
    <t>Cordova-Smith.AP</t>
  </si>
  <si>
    <t>Deadhorse.AP</t>
  </si>
  <si>
    <t>Deering.AP</t>
  </si>
  <si>
    <t>Dutch.Harbor-Unalaska-Madsen.AP</t>
  </si>
  <si>
    <t>Eagle.AP</t>
  </si>
  <si>
    <t>Fairbanks-Eielson.AFB</t>
  </si>
  <si>
    <t>Fairbanks.11.NE-NOAA-NESDIS-FCDAS</t>
  </si>
  <si>
    <t>Fairbanks.Intl.AP</t>
  </si>
  <si>
    <t>Galena-Pike.AP</t>
  </si>
  <si>
    <t>Gulkana.AP</t>
  </si>
  <si>
    <t>Gustavus.AP</t>
  </si>
  <si>
    <t>Haines.AP</t>
  </si>
  <si>
    <t>Homer.AP</t>
  </si>
  <si>
    <t>Iliamna.AP</t>
  </si>
  <si>
    <t>Juneau.Intl.AP</t>
  </si>
  <si>
    <t>Kaltag.AP</t>
  </si>
  <si>
    <t>Kenai.Muni.AP</t>
  </si>
  <si>
    <t>Ketchikan.Intl.AP</t>
  </si>
  <si>
    <t>King.Salmon.AP</t>
  </si>
  <si>
    <t>Kivalina.AP</t>
  </si>
  <si>
    <t>Klawock.AP</t>
  </si>
  <si>
    <t>Kodiak.AP</t>
  </si>
  <si>
    <t>Kotzebue-Wien.Meml.AP</t>
  </si>
  <si>
    <t>McGrath.AP</t>
  </si>
  <si>
    <t>Middleton.Island.AP</t>
  </si>
  <si>
    <t>NAS.Adak</t>
  </si>
  <si>
    <t>Nome.AP</t>
  </si>
  <si>
    <t>Northway.AP</t>
  </si>
  <si>
    <t>Nuiqsut.AP</t>
  </si>
  <si>
    <t>Palmer.Muni.AP</t>
  </si>
  <si>
    <t>Petersburg.Johnson.AP</t>
  </si>
  <si>
    <t>Port.Heiden.AP</t>
  </si>
  <si>
    <t>Portage.Glacier</t>
  </si>
  <si>
    <t>Seldovia.AP</t>
  </si>
  <si>
    <t>Seward.AP</t>
  </si>
  <si>
    <t>Sitka.1.NE</t>
  </si>
  <si>
    <t>Sitka.Gutierrez.AP</t>
  </si>
  <si>
    <t>Skagway.AP</t>
  </si>
  <si>
    <t>Sparrevohn.LRRS.AP</t>
  </si>
  <si>
    <t>St.George.Island</t>
  </si>
  <si>
    <t>St.Paul.Island</t>
  </si>
  <si>
    <t>St.Paul.Island.AP</t>
  </si>
  <si>
    <t>Talkeetna.AP</t>
  </si>
  <si>
    <t>Tanana-Calhoun.Meml.AP</t>
  </si>
  <si>
    <t>Tatalina.LRRS.AP</t>
  </si>
  <si>
    <t>Tin.City.LRRS.AP</t>
  </si>
  <si>
    <t>Unalakleet.AP</t>
  </si>
  <si>
    <t>Valdez.AP-Pioneer.Field</t>
  </si>
  <si>
    <t>Wainwright.AP</t>
  </si>
  <si>
    <t>Wrangell.AP</t>
  </si>
  <si>
    <t>Yakutat.AP</t>
  </si>
  <si>
    <t>AL</t>
  </si>
  <si>
    <t>Andalusia-South.Alabama.Rgnl.AP</t>
  </si>
  <si>
    <t>Anniston.Rgnl.AP</t>
  </si>
  <si>
    <t>Auburn.Univ.Brewton.Agricultural.Research.Unit</t>
  </si>
  <si>
    <t>Auburn.Univ.Sand.Mountain.Research.and.Extension.Center</t>
  </si>
  <si>
    <t>Birmingham-Shelby.County.AP</t>
  </si>
  <si>
    <t>Birmingham-Shuttlesworth.Intl.AP</t>
  </si>
  <si>
    <t>Clanton-Chilton.County.AP-Wade.Field</t>
  </si>
  <si>
    <t>Courtland.AP</t>
  </si>
  <si>
    <t>Dothan.Rgnl.AP</t>
  </si>
  <si>
    <t>East.Point</t>
  </si>
  <si>
    <t>Evergreen.Rgnl.AP-Middleton.Field</t>
  </si>
  <si>
    <t>Fairhope</t>
  </si>
  <si>
    <t>Florala.Muni.AP</t>
  </si>
  <si>
    <t>Ft.Rucker-Cairns.AAF</t>
  </si>
  <si>
    <t>Gainesville</t>
  </si>
  <si>
    <t>Greensboro</t>
  </si>
  <si>
    <t>Greenville-Crenshaw.Meml.AP</t>
  </si>
  <si>
    <t>Huntsville.Intl.AP-Jones.Field</t>
  </si>
  <si>
    <t>Mobile-Brookley.Aeroplex</t>
  </si>
  <si>
    <t>Mobile.Rgnl.AP-Bates.Field</t>
  </si>
  <si>
    <t>Montgomery-Maxwell-Gunter.AFB</t>
  </si>
  <si>
    <t>Montgomery.Rgnl.AP-Dannelly.Field</t>
  </si>
  <si>
    <t>Muscle.Shoals-Northwest.Alabama.Rgnl.AP</t>
  </si>
  <si>
    <t>Muscle.Shoals.TVA</t>
  </si>
  <si>
    <t>Russellville.Muni.AP-Pugh.Field</t>
  </si>
  <si>
    <t>Scottsboro.Muni.AP-Word.Field</t>
  </si>
  <si>
    <t>Selma-Auburn.Univ-Black.Belt.Research.and.Extension.Center</t>
  </si>
  <si>
    <t>Selma-Craig.Field.AP</t>
  </si>
  <si>
    <t>Tanner-Pryor.Field.Rgnl.AP</t>
  </si>
  <si>
    <t>Thomasville</t>
  </si>
  <si>
    <t>Troy-Pike.County</t>
  </si>
  <si>
    <t>Troy.Muni.AP</t>
  </si>
  <si>
    <t>Tuscaloosa.Natl.AP</t>
  </si>
  <si>
    <t>Valley.Head</t>
  </si>
  <si>
    <t>AR</t>
  </si>
  <si>
    <t>Batesville-Univ.Arkansas.Experimental.Farm</t>
  </si>
  <si>
    <t>Bentonville-Northwest.Arkansas.Rgnl.AP</t>
  </si>
  <si>
    <t>Blytheville.Muni.AP</t>
  </si>
  <si>
    <t>De.Queen-Helms.Sevier.County.AP</t>
  </si>
  <si>
    <t>El.Dorado-South.Arkansas.Rgnl.AP-Goodwin.Field</t>
  </si>
  <si>
    <t>Fayetteville.Exec.AP-Drake.Field</t>
  </si>
  <si>
    <t>Fort.Smith.Rgnl.AP</t>
  </si>
  <si>
    <t>Harrison-Boone.County.Rgnl.AP</t>
  </si>
  <si>
    <t>Hot.Springs-Meml.Field.AP</t>
  </si>
  <si>
    <t>Jonesboro.Muni.AP</t>
  </si>
  <si>
    <t>Little.Rock-Clinton.Natl.AP-Adams.Field</t>
  </si>
  <si>
    <t>Little.Rock.AFB</t>
  </si>
  <si>
    <t>Midway-Ozark.Rgnl.AP</t>
  </si>
  <si>
    <t>Monticello.Muni.AP-Ellis.Field</t>
  </si>
  <si>
    <t>Mount.Ida</t>
  </si>
  <si>
    <t>Pine.Bluff-Grider.Field</t>
  </si>
  <si>
    <t>Russellville.Rgnl.AP</t>
  </si>
  <si>
    <t>Texarkana.Rgnl.AP-Webb.Field</t>
  </si>
  <si>
    <t>Walnut.Ridge.Rgnl.AP</t>
  </si>
  <si>
    <t>West.Memphis.Muni.AP</t>
  </si>
  <si>
    <t>AZ</t>
  </si>
  <si>
    <t>Arizona-Sonora.Desert.Museum</t>
  </si>
  <si>
    <t>Babbitt.Ranches.Meridian.Site</t>
  </si>
  <si>
    <t>Elgin-Audubon.Appleton.Whittell.Research.Center</t>
  </si>
  <si>
    <t>Flagstaff.Pulliam.AP</t>
  </si>
  <si>
    <t>Ft.Huachuca-Sierra.Vista.Muni.AP</t>
  </si>
  <si>
    <t>Glendale-Luke.AFB</t>
  </si>
  <si>
    <t>Grand.Canyon.Natl.Park.AP</t>
  </si>
  <si>
    <t>Kingman.AP</t>
  </si>
  <si>
    <t>Nogales.Intl.AP</t>
  </si>
  <si>
    <t>Page.Muni.AP</t>
  </si>
  <si>
    <t>Phoenix-Deer.Valley.Muni.AP</t>
  </si>
  <si>
    <t>Phoenix-Sky.Harbor.Intl.AP</t>
  </si>
  <si>
    <t>Prescott.Muni.AP-Love.Field</t>
  </si>
  <si>
    <t>Safford.Rgnl.AP</t>
  </si>
  <si>
    <t>Scottsdale.AP</t>
  </si>
  <si>
    <t>Show.Low.Rgnl.AP</t>
  </si>
  <si>
    <t>St.Johns.Indl.AF</t>
  </si>
  <si>
    <t>Tucson-Davis-Monthan.AFB</t>
  </si>
  <si>
    <t>Tucson.Intl.AP</t>
  </si>
  <si>
    <t>Window.Rock.AP</t>
  </si>
  <si>
    <t>Winslow-Lindberg.Rgnl.AP</t>
  </si>
  <si>
    <t>Yuma-MCAS.Yuma-Yuma.Intl.AP</t>
  </si>
  <si>
    <t>Yuma.Proving.Ground-Red.Bluff.Site</t>
  </si>
  <si>
    <t>CA</t>
  </si>
  <si>
    <t>Alturas.Muni.AP</t>
  </si>
  <si>
    <t>Bakersfield-Meadows.Field.AP</t>
  </si>
  <si>
    <t>Barstow-Daggett.AP</t>
  </si>
  <si>
    <t>Beale.AFB</t>
  </si>
  <si>
    <t>Bishop-Eastern.Sierra.Rgnl.AP</t>
  </si>
  <si>
    <t>Blue.Canyon-Nyack.AP</t>
  </si>
  <si>
    <t>Blythe.AP</t>
  </si>
  <si>
    <t>Camarillo.AP</t>
  </si>
  <si>
    <t>Campo</t>
  </si>
  <si>
    <t>Carlsbad-McClellan-Palomar.AP</t>
  </si>
  <si>
    <t>Catalina.Island.AP</t>
  </si>
  <si>
    <t>Chino.AP</t>
  </si>
  <si>
    <t>Chula.Vista-Brown.Field.Muni.AP</t>
  </si>
  <si>
    <t>Crescent.City-Del.Norte.County.Rgnl.AP</t>
  </si>
  <si>
    <t>Edwards.AF.Aux.North.Base</t>
  </si>
  <si>
    <t>Edwards.AFB</t>
  </si>
  <si>
    <t>Eureka-California.Redwood.Coast-Humboldt.County.AP</t>
  </si>
  <si>
    <t>Fairfield-Travis.AFB</t>
  </si>
  <si>
    <t>Fresno.Yosemite.Intl.AP</t>
  </si>
  <si>
    <t>Fullerton.Muni.AP</t>
  </si>
  <si>
    <t>Hanford.Muni.AP</t>
  </si>
  <si>
    <t>Hawthorne.Muni.AP-Northrop.Field</t>
  </si>
  <si>
    <t>Hollywood.Burbank.AP</t>
  </si>
  <si>
    <t>Imperial.County.AP</t>
  </si>
  <si>
    <t>Kesterson.Reservoir</t>
  </si>
  <si>
    <t>Lancaster-Fox.Field</t>
  </si>
  <si>
    <t>Livermore.Muni.AP</t>
  </si>
  <si>
    <t>Long.Beach.AP</t>
  </si>
  <si>
    <t>Los.Angeles.Intl.AP</t>
  </si>
  <si>
    <t>Madera.Muni.AP</t>
  </si>
  <si>
    <t>Marysville-Yuba.County.AP</t>
  </si>
  <si>
    <t>MCAS.Camp.Pendleton</t>
  </si>
  <si>
    <t>Merced.Rgnl.AP-Macready.Field</t>
  </si>
  <si>
    <t>Modesto.City-County.AP</t>
  </si>
  <si>
    <t>Montague-Siskiyou.County.AP</t>
  </si>
  <si>
    <t>Monterey.Rgnl.AP</t>
  </si>
  <si>
    <t>Mount.Shasta</t>
  </si>
  <si>
    <t>Mountain.View-Moffett.Federal.Field</t>
  </si>
  <si>
    <t>NAF.El.Centro</t>
  </si>
  <si>
    <t>Napa.County.AP</t>
  </si>
  <si>
    <t>NAS.Lemoore</t>
  </si>
  <si>
    <t>NAWS.China.Lake</t>
  </si>
  <si>
    <t>NB.Ventura.County-Point.Mugu</t>
  </si>
  <si>
    <t>Needles.AP</t>
  </si>
  <si>
    <t>Nut.Tree.AP</t>
  </si>
  <si>
    <t>Oakland.Intl.AP</t>
  </si>
  <si>
    <t>Oceanside.Muni.AP</t>
  </si>
  <si>
    <t>Ontario.Intl.AP</t>
  </si>
  <si>
    <t>Oroville.Muni.AP</t>
  </si>
  <si>
    <t>Oxnard.AP</t>
  </si>
  <si>
    <t>Palm.Springs-Thermal-Cochran.Rgnl.AP</t>
  </si>
  <si>
    <t>Palm.Springs.Intl.AP</t>
  </si>
  <si>
    <t>Palmdale.Rgnl.AP</t>
  </si>
  <si>
    <t>Paso.Robles.Muni.AP</t>
  </si>
  <si>
    <t>Ramona.AP</t>
  </si>
  <si>
    <t>Red.Bluff.Muni.AP</t>
  </si>
  <si>
    <t>Redding-Whiskeytown.Natl.Recreation.Area</t>
  </si>
  <si>
    <t>Redding.Muni.AP</t>
  </si>
  <si>
    <t>Riverside-March.ARB</t>
  </si>
  <si>
    <t>Riverside.Muni.AP</t>
  </si>
  <si>
    <t>Sacramento.Exec.AP</t>
  </si>
  <si>
    <t>Sacramento.Intl.AP</t>
  </si>
  <si>
    <t>Salinas.Muni.AP</t>
  </si>
  <si>
    <t>San.Diego-MCAS.Miramar</t>
  </si>
  <si>
    <t>San.Diego-Montgomery-Gibbs.Exec.AP</t>
  </si>
  <si>
    <t>San.Diego-NAS.North.Island-Halsey.Field</t>
  </si>
  <si>
    <t>San.Diego.Intl.AP-Lindbergh.Field</t>
  </si>
  <si>
    <t>San.Francisco.Intl.AP</t>
  </si>
  <si>
    <t>San.Jose-Mineta.Intl.AP</t>
  </si>
  <si>
    <t>San.Luis.Obispo.County.Rgnl.AP</t>
  </si>
  <si>
    <t>Santa.Ana-Orange.County-Wayne.Intl.AP</t>
  </si>
  <si>
    <t>Santa.Barbara.Muni.AP</t>
  </si>
  <si>
    <t>Santa.Maria.Public.AP-Hancock.Field</t>
  </si>
  <si>
    <t>Santa.Monica.AP</t>
  </si>
  <si>
    <t>Santa.Rosa-Schulz-Sonoma.County.AP</t>
  </si>
  <si>
    <t>South.Lake.Tahoe-Lake.Tahoe.AP</t>
  </si>
  <si>
    <t>Stockton.Metro.AP</t>
  </si>
  <si>
    <t>Stovepipe.Wells-Death.Valley.Natl.Park</t>
  </si>
  <si>
    <t>Temecula-San.Diego.State.Univ</t>
  </si>
  <si>
    <t>Twentynine.Palms.SELF</t>
  </si>
  <si>
    <t>Ukiah.Muni.AP</t>
  </si>
  <si>
    <t>Van.Nuys.AP</t>
  </si>
  <si>
    <t>Vandenberg.AFB</t>
  </si>
  <si>
    <t>Watsonville.Muni.AP</t>
  </si>
  <si>
    <t>CO</t>
  </si>
  <si>
    <t>Akron-Colorado.Plains.Rgnl.AP</t>
  </si>
  <si>
    <t>Alamosa-San.Luis.Valley.Rgnl.AP</t>
  </si>
  <si>
    <t>Aspen-Pitkin.County.AP-Sardy.Field</t>
  </si>
  <si>
    <t>Aurora-Buckley.AFB</t>
  </si>
  <si>
    <t>Black.Canyon.of.the.Gunnison.Natl.Park</t>
  </si>
  <si>
    <t>Burlington-Kit.Carson.County.AP</t>
  </si>
  <si>
    <t>Colorado.Springs.AP-Peterson.Field</t>
  </si>
  <si>
    <t>Cortez-Mesa.Verde.Natl.Park</t>
  </si>
  <si>
    <t>Cortez.Muni.AP-Montezuma.County.AP</t>
  </si>
  <si>
    <t>Craig-Moffat.AP</t>
  </si>
  <si>
    <t>Denver-Centennial.AP</t>
  </si>
  <si>
    <t>Denver.Intl.AP</t>
  </si>
  <si>
    <t>Dinosaur.Natl.Monument</t>
  </si>
  <si>
    <t>Durango-La.Plata.County.AP</t>
  </si>
  <si>
    <t>Eagle.County.Rgnl.AP</t>
  </si>
  <si>
    <t>Fort.Carson-Butts.AAF.AP</t>
  </si>
  <si>
    <t>Grand.Junction.Rgnl.AP-Walker.Field</t>
  </si>
  <si>
    <t>La.Junta-USDA.Comanche.Natl.Grassland</t>
  </si>
  <si>
    <t>La.Junta.Muni.AP</t>
  </si>
  <si>
    <t>Lamar.Muni.AP</t>
  </si>
  <si>
    <t>Leadville-Lake.County.AP</t>
  </si>
  <si>
    <t>Limon.Muni.AP</t>
  </si>
  <si>
    <t>Meeker.AP</t>
  </si>
  <si>
    <t>Montrose.Rgnl.AP</t>
  </si>
  <si>
    <t>Nederland-Univ.Colorado.Boulder.Mountain.Research.Stn</t>
  </si>
  <si>
    <t>Nunn-NSF.Long.Term.Ecological.Research.Site</t>
  </si>
  <si>
    <t>Pueblo.Meml.AP</t>
  </si>
  <si>
    <t>Rifle-Garfield.County.Rgnl.AP</t>
  </si>
  <si>
    <t>Springfield-Comanche.Natl.Grassland</t>
  </si>
  <si>
    <t>Trinidad-Stokes.AP</t>
  </si>
  <si>
    <t>USAF.Academy.AF</t>
  </si>
  <si>
    <t>CT</t>
  </si>
  <si>
    <t>Bridgeport-Sikorsky.Meml.AP</t>
  </si>
  <si>
    <t>Danbury.Muni.AP</t>
  </si>
  <si>
    <t>Groton-New.London.AP</t>
  </si>
  <si>
    <t>Hartford-Bradley.Intl.AP</t>
  </si>
  <si>
    <t>Hartford-Brainard.AP</t>
  </si>
  <si>
    <t>Meriden.Markham.Muni.AP</t>
  </si>
  <si>
    <t>Tweed.New.Haven.AP</t>
  </si>
  <si>
    <t>Windham.AP</t>
  </si>
  <si>
    <t>DE</t>
  </si>
  <si>
    <t>Dover.AFB</t>
  </si>
  <si>
    <t>Georgetown-Delaware.Coastal.AP</t>
  </si>
  <si>
    <t>Wilmington-New.Castle.County.AP</t>
  </si>
  <si>
    <t>FL</t>
  </si>
  <si>
    <t>Apalachicola.Rgnl.AP</t>
  </si>
  <si>
    <t>Big.Cypress.Natl.Preserve</t>
  </si>
  <si>
    <t>Brooksville-Tampa.Bay.Rgnl.AP</t>
  </si>
  <si>
    <t>Cape.Canaveral.AFS</t>
  </si>
  <si>
    <t>Crestview-Duke.Field.AS</t>
  </si>
  <si>
    <t>Crestview-Sikes.AP</t>
  </si>
  <si>
    <t>Cross.City.AP</t>
  </si>
  <si>
    <t>Daytona.Beach.Intl.AP</t>
  </si>
  <si>
    <t>Destin-Fort.Walton.Beach.AP-Eglin.AFB</t>
  </si>
  <si>
    <t>Destin.Exec.AP</t>
  </si>
  <si>
    <t>Florida.Keys.Marathon.Intl.AP</t>
  </si>
  <si>
    <t>Fort.Lauderdale-Hollywood.Intl.AP</t>
  </si>
  <si>
    <t>Fort.Lauderdale.Exec.AP</t>
  </si>
  <si>
    <t>Fort.Myers-Page.Field.AP</t>
  </si>
  <si>
    <t>Fort.Myers-Southwest.Florida.Intl.AP</t>
  </si>
  <si>
    <t>Fort.Pierce-St.Lucie.County.Intl.AP</t>
  </si>
  <si>
    <t>Fort.Walton.Beach-Hurlburt.Field</t>
  </si>
  <si>
    <t>Gainesville.Rgnl.AP</t>
  </si>
  <si>
    <t>Homestead.ARB</t>
  </si>
  <si>
    <t>Jacksonville-NS.Mayport</t>
  </si>
  <si>
    <t>Jacksonville.Exec-Craig.AP</t>
  </si>
  <si>
    <t>Jacksonville.Intl.AP</t>
  </si>
  <si>
    <t>Kennedy.Space.Center-Titusville</t>
  </si>
  <si>
    <t>Key.West.Intl.AP</t>
  </si>
  <si>
    <t>Leesburg.Intl.AP</t>
  </si>
  <si>
    <t>Marianna.Muni.AP</t>
  </si>
  <si>
    <t>Miami-Opa.Locka.Exec.AP</t>
  </si>
  <si>
    <t>Miami.Exec.AP</t>
  </si>
  <si>
    <t>Miami.Intl.AP</t>
  </si>
  <si>
    <t>Milton-NAS.Whiting.Field.North</t>
  </si>
  <si>
    <t>Milton-NAS.Whiting.Field.South</t>
  </si>
  <si>
    <t>Naples.Muni.AP</t>
  </si>
  <si>
    <t>NAS.Jacksonville-Towers.Field</t>
  </si>
  <si>
    <t>NAS.Key.West</t>
  </si>
  <si>
    <t>NAS.Pensacola-Sherman.Field</t>
  </si>
  <si>
    <t>Orlando.Exec.AP</t>
  </si>
  <si>
    <t>Orlando.Intl.AP</t>
  </si>
  <si>
    <t>Orlando.Melbourne.Intl.AP</t>
  </si>
  <si>
    <t>Orlando.Sanford.Intl.AP</t>
  </si>
  <si>
    <t>Palm.Beach.Intl.AP</t>
  </si>
  <si>
    <t>Panama.City-Tyndall.AFB</t>
  </si>
  <si>
    <t>Patrick.AFB</t>
  </si>
  <si>
    <t>Pembroke.Pines-North.Perry.AP</t>
  </si>
  <si>
    <t>Pensacola.Intl.AP</t>
  </si>
  <si>
    <t>Pompano.Beach.AF</t>
  </si>
  <si>
    <t>Punta.Gorda.AP</t>
  </si>
  <si>
    <t>Sarasota-Bradenton.Intl.AP</t>
  </si>
  <si>
    <t>Sebring-Archbold.Biological.Station</t>
  </si>
  <si>
    <t>St.Petersburg-Clearwater.Intl.AP</t>
  </si>
  <si>
    <t>St.Petersburg-Whitted.AP</t>
  </si>
  <si>
    <t>Tallahassee.Intl.AP</t>
  </si>
  <si>
    <t>Tampa-MacDill.AFB</t>
  </si>
  <si>
    <t>Tampa.Intl.AP</t>
  </si>
  <si>
    <t>Vero.Beach.Muni.AP</t>
  </si>
  <si>
    <t>Winter.Haven.Rgnl.AP-Gilbert.Field</t>
  </si>
  <si>
    <t>GA</t>
  </si>
  <si>
    <t>Albany-Southwest.Georgia.Rgnl.AP</t>
  </si>
  <si>
    <t>Alma-Bacon.County.AP</t>
  </si>
  <si>
    <t>Athens-Epps.AP</t>
  </si>
  <si>
    <t>Atlanta-Fulton.County.AP-Brown.Field</t>
  </si>
  <si>
    <t>Atlanta-Hartsfield-Jackson.Intl.AP</t>
  </si>
  <si>
    <t>Augusta-Daniel.Field.AP</t>
  </si>
  <si>
    <t>Augusta.Rgnl.AP-Bush.Field</t>
  </si>
  <si>
    <t>Brunswick-McKinnon.St.Simons.Island.AP</t>
  </si>
  <si>
    <t>Cartersville.AP</t>
  </si>
  <si>
    <t>Columbus.AP</t>
  </si>
  <si>
    <t>DeKalb-Peachtree.AP</t>
  </si>
  <si>
    <t>Fort.Benning-Lawson.AAF</t>
  </si>
  <si>
    <t>Gainesville-Gilmer.Meml.AP</t>
  </si>
  <si>
    <t>Hinesville-Midcoast.Rgnl.AP-Wright.AAF-Ft.Stewart</t>
  </si>
  <si>
    <t>Macon-Middle.Georgia.Rgnl.AP</t>
  </si>
  <si>
    <t>Marietta-Dobbins.ARB</t>
  </si>
  <si>
    <t>Newton-Jones.Center.at.Ichauway.Research.Institute</t>
  </si>
  <si>
    <t>Newton-Woodruff.Foundation.at.Ichauway.Research.Institute</t>
  </si>
  <si>
    <t>Peachtree.City-Atlanta.Rgnl.AP-Falcon.Field</t>
  </si>
  <si>
    <t>Rome-Russell.AP</t>
  </si>
  <si>
    <t>Savannah-Hilton.Head.Intl.AP</t>
  </si>
  <si>
    <t>Savannah-Hunter.AAF</t>
  </si>
  <si>
    <t>Stafford.AP-Cumberland.Island.Natl.Seashore</t>
  </si>
  <si>
    <t>USDA.ARS-Colham.Ferry.Site</t>
  </si>
  <si>
    <t>Valdosta-Moody.AFB</t>
  </si>
  <si>
    <t>Valdosta.Rgnl.AP</t>
  </si>
  <si>
    <t>Warner.Robins-Robins.AFB</t>
  </si>
  <si>
    <t>Waycross-Ware.County.AP</t>
  </si>
  <si>
    <t>HI</t>
  </si>
  <si>
    <t>Hilo-Hawaii.County</t>
  </si>
  <si>
    <t>Hilo.Intl.AP.Hawaii</t>
  </si>
  <si>
    <t>Honolulu-Inouye.Intl.AP.Oahu</t>
  </si>
  <si>
    <t>Kahului.AP.Maui</t>
  </si>
  <si>
    <t>Kona.Intl.AP.Hawaii</t>
  </si>
  <si>
    <t>Lanai.AP.Maui</t>
  </si>
  <si>
    <t>Lihue.AP.Kauai</t>
  </si>
  <si>
    <t>Mauna.Loa.Obs.Hawaii</t>
  </si>
  <si>
    <t>MCB.Hawaii-Kaneohe.Bay.MCAS.Oahu</t>
  </si>
  <si>
    <t>Molokai.AP.Molokai</t>
  </si>
  <si>
    <t>NAS.Barbers.Point.Oahu</t>
  </si>
  <si>
    <t>Wheeler.AAF.Oahu</t>
  </si>
  <si>
    <t>IA</t>
  </si>
  <si>
    <t>Ames.Muni.AP</t>
  </si>
  <si>
    <t>Atlantic.Muni.AP</t>
  </si>
  <si>
    <t>Burlington-Southeast.Iowa.Rgnl.AP</t>
  </si>
  <si>
    <t>Cedar.Rapids-Eastern.Iowa.AP</t>
  </si>
  <si>
    <t>Davenport.Muni.AP</t>
  </si>
  <si>
    <t>Des.Moines.Intl.AP</t>
  </si>
  <si>
    <t>Dubuque.Rgnl.AP</t>
  </si>
  <si>
    <t>Estherville.Muni.AP</t>
  </si>
  <si>
    <t>Iowa.City.Muni.AP</t>
  </si>
  <si>
    <t>Lamoni.Muni.AP</t>
  </si>
  <si>
    <t>Marshalltown.Muni.AP</t>
  </si>
  <si>
    <t>Mason.City.Muni.AP</t>
  </si>
  <si>
    <t>Ottumwa.Rgnl.AP</t>
  </si>
  <si>
    <t>Prairie.City-Smith.Natl.Wildlife.Refuge</t>
  </si>
  <si>
    <t>Sioux.City-Sioux.Gateway.AP</t>
  </si>
  <si>
    <t>Spencer.Muni.AP</t>
  </si>
  <si>
    <t>Waterloo.Rgnl.AP-Betsworth.Field</t>
  </si>
  <si>
    <t>ID</t>
  </si>
  <si>
    <t>Boise.AP-Gowen.Field.ANGB</t>
  </si>
  <si>
    <t>Burley.Muni.AP</t>
  </si>
  <si>
    <t>Challis.AP</t>
  </si>
  <si>
    <t>Coeur.dAlene.AP-Boyington.Field</t>
  </si>
  <si>
    <t>Craters.of.the.Moon.Natl.Monument</t>
  </si>
  <si>
    <t>Idaho.Falls.Rgnl.AP-Fanning.Field</t>
  </si>
  <si>
    <t>Jerome.County.AP</t>
  </si>
  <si>
    <t>Lewiston-Nez.Perce.County.Rgnl.AP</t>
  </si>
  <si>
    <t>Lowell</t>
  </si>
  <si>
    <t>McCall.Muni.AP</t>
  </si>
  <si>
    <t>Mountain.Home.AFB</t>
  </si>
  <si>
    <t>Mullan.Pass</t>
  </si>
  <si>
    <t>Murphy-NorthWest.Watershed.Research.Center-Reynolds.Creek.Site</t>
  </si>
  <si>
    <t>Pocatello.Rgnl.AP</t>
  </si>
  <si>
    <t>Rexburg-Madison.County.AP</t>
  </si>
  <si>
    <t>Stanley.Ranger.Station</t>
  </si>
  <si>
    <t>Twin.Falls-Magic.Valley.Rgnl.AP-Joslin.Field</t>
  </si>
  <si>
    <t>IL</t>
  </si>
  <si>
    <t>Aurora.Muni.AP</t>
  </si>
  <si>
    <t>Belleville-Scott.AFB-MidAmerica.St.Louis.AP</t>
  </si>
  <si>
    <t>Bondville.SURFRAD</t>
  </si>
  <si>
    <t>Cahokia-St.Louis.Downtown.AP</t>
  </si>
  <si>
    <t>Carbondale-Southern.Illinois.AP</t>
  </si>
  <si>
    <t>Champaign-Univ.of.IL.Willard.AP</t>
  </si>
  <si>
    <t>Chigago.Exec.AP</t>
  </si>
  <si>
    <t>Chicago.Midway.Intl.AP</t>
  </si>
  <si>
    <t>Chicago.OHare.Intl.AP</t>
  </si>
  <si>
    <t>Decatur.AP</t>
  </si>
  <si>
    <t>Du.Page.AP</t>
  </si>
  <si>
    <t>Lawrenceville.Vincennes.Intl.AP</t>
  </si>
  <si>
    <t>Mattoon-Coles.County.Meml.AP</t>
  </si>
  <si>
    <t>Moline-Quad.City.Intl.AP</t>
  </si>
  <si>
    <t>Northern.Illinois.Agronomy.Research.Center</t>
  </si>
  <si>
    <t>Peoria-Downing.Peoria.Intl.AP</t>
  </si>
  <si>
    <t>Quincy.Rgnl.AP-Baldwin.Field</t>
  </si>
  <si>
    <t>Rockford-Chicago.Rockford.Intl.AP</t>
  </si>
  <si>
    <t>Springfield-Lincoln.Capital.AP</t>
  </si>
  <si>
    <t>Waukegan.Natl.AP</t>
  </si>
  <si>
    <t>IN</t>
  </si>
  <si>
    <t>Bedford-FPAC.Feldun.Purdue.Agriculture.Center</t>
  </si>
  <si>
    <t>Bloomington-Monroe.County.AP</t>
  </si>
  <si>
    <t>Evansville.Rgnl.AP</t>
  </si>
  <si>
    <t>Fort.Wayne.Intl.AP</t>
  </si>
  <si>
    <t>Goshen.Muni.AP</t>
  </si>
  <si>
    <t>Grissom.ARB</t>
  </si>
  <si>
    <t>Indianapolis-Eagle.Creek.AP</t>
  </si>
  <si>
    <t>Indianapolis.Intl.AP</t>
  </si>
  <si>
    <t>Lafayette-Purdue.Univ.AP</t>
  </si>
  <si>
    <t>Muncie-Delaware.County.Rgnl.AP-Johnson.Field</t>
  </si>
  <si>
    <t>Shelbyville.Muni.AP</t>
  </si>
  <si>
    <t>South.Bend.Intl.AP</t>
  </si>
  <si>
    <t>Terre.Haute.Intl.AP-Hulman.Field.ANGB</t>
  </si>
  <si>
    <t>Valparaiso-Porter.County.Rgnl.AP</t>
  </si>
  <si>
    <t>KS</t>
  </si>
  <si>
    <t>Chanute.Johnson.AP</t>
  </si>
  <si>
    <t>Coffeyville.Muni.AP</t>
  </si>
  <si>
    <t>Concordia-Blosser.Muni.AP</t>
  </si>
  <si>
    <t>Dodge.City.Rgnl.AP</t>
  </si>
  <si>
    <t>Emporia.Muni.AP</t>
  </si>
  <si>
    <t>Ft.Riley-Marshall.AAF</t>
  </si>
  <si>
    <t>Garden.City.Rgnl.AP</t>
  </si>
  <si>
    <t>Goodland.Muni.AP-Renner.Field</t>
  </si>
  <si>
    <t>Hill.City.Muni.AP</t>
  </si>
  <si>
    <t>Hutchinson.Muni.AP</t>
  </si>
  <si>
    <t>Lawrence.Muni.AP</t>
  </si>
  <si>
    <t>Manhattan-Konza.Prairie.Biological.Station</t>
  </si>
  <si>
    <t>Manhattan.Rgnl.AP</t>
  </si>
  <si>
    <t>Medicine.Lodge-Barber.State.Fishing.Lake.and.Wildlife.Area</t>
  </si>
  <si>
    <t>Oakley.19.SSW</t>
  </si>
  <si>
    <t>Olathe-Johnson.County.Exec.AP</t>
  </si>
  <si>
    <t>Olathe-New.Century.AirCenter</t>
  </si>
  <si>
    <t>Parsons.Tri-City.AP</t>
  </si>
  <si>
    <t>Russell.Muni.AP</t>
  </si>
  <si>
    <t>Salina.Rgnl.AP</t>
  </si>
  <si>
    <t>Topeka-Billard.Muni.AP</t>
  </si>
  <si>
    <t>Topeka.Rgnl.AP-Forbes.ANGB</t>
  </si>
  <si>
    <t>Wichita-Jabara.AP</t>
  </si>
  <si>
    <t>Wichita-McConnell.AFB</t>
  </si>
  <si>
    <t>Wichita.Eisenhower.Natl.AP</t>
  </si>
  <si>
    <t>Winfield-Strother.Field.AP</t>
  </si>
  <si>
    <t>KY</t>
  </si>
  <si>
    <t>Bowling.Green-Mammoth.Cave.Natl.Park</t>
  </si>
  <si>
    <t>Bowling.Green-Warren.County.Rgnl.AP</t>
  </si>
  <si>
    <t>Cincinnati-Northern.Kentucky.Intl.AP</t>
  </si>
  <si>
    <t>Fort.Campbell-Campbell.AAF</t>
  </si>
  <si>
    <t>Fort.Knox-Godman.AAF</t>
  </si>
  <si>
    <t>Frankfort-Capital.City.AP</t>
  </si>
  <si>
    <t>Lexington-Blue.Grass.AP</t>
  </si>
  <si>
    <t>London-Corbin.AP-Magee.Field</t>
  </si>
  <si>
    <t>Louisville-Bowman.Field.AP</t>
  </si>
  <si>
    <t>Louisville.Intl.AP</t>
  </si>
  <si>
    <t>Paducah-Barkley.Rgnl.AP</t>
  </si>
  <si>
    <t>Versailles-Univ.Kentucky-Woodford.County.Site</t>
  </si>
  <si>
    <t>LA</t>
  </si>
  <si>
    <t>Alexandria-Esler.Rgnl.AP</t>
  </si>
  <si>
    <t>Alexandria.Intl.AP</t>
  </si>
  <si>
    <t>Boothville</t>
  </si>
  <si>
    <t>Ft.Polk-Peason.Ridge.Range</t>
  </si>
  <si>
    <t>Ft.Polk-Polk.AAF</t>
  </si>
  <si>
    <t>Lafayette.Rgnl.AP</t>
  </si>
  <si>
    <t>Lake.Charles.Rgnl.AP</t>
  </si>
  <si>
    <t>Monroe.Rgnl.AP</t>
  </si>
  <si>
    <t>New.Iberia-Acadiana.Rgnl.AP</t>
  </si>
  <si>
    <t>New.Orleans-Armstrong.Intl.AP</t>
  </si>
  <si>
    <t>New.Orleans-Lakefront.AP</t>
  </si>
  <si>
    <t>New.Orleans-NAS.JRB.New.Orleans-Callender.Field</t>
  </si>
  <si>
    <t>Salt.Point</t>
  </si>
  <si>
    <t>Shreveport-Bossier.City-Barksdale.AFB</t>
  </si>
  <si>
    <t>Shreveport.Downtown.AP</t>
  </si>
  <si>
    <t>Shreveport.Rgnl.AP</t>
  </si>
  <si>
    <t>Slidell.Muni.AP-New.Orleans.WFO</t>
  </si>
  <si>
    <t>Univ.Louisiana</t>
  </si>
  <si>
    <t>Upper.Ouachita.Natl.Wildlife.Refuge</t>
  </si>
  <si>
    <t>Vicksburg-Tallulah.Rgnl.AP</t>
  </si>
  <si>
    <t>MA</t>
  </si>
  <si>
    <t>Bedford-Hanscom.Field.AP</t>
  </si>
  <si>
    <t>Beverly.Rgnl.AP</t>
  </si>
  <si>
    <t>Blue.Hill.Obs.Science.Center</t>
  </si>
  <si>
    <t>Boston-Logan.Intl.AP</t>
  </si>
  <si>
    <t>Chatham.Muni.AP</t>
  </si>
  <si>
    <t>Chicopee-Westover.Metro.AP</t>
  </si>
  <si>
    <t>Fitchburg.Muni.AP</t>
  </si>
  <si>
    <t>Marthas.Vineyard.AP</t>
  </si>
  <si>
    <t>New.Bedford.Rgnl.AP</t>
  </si>
  <si>
    <t>North.Adams-Harriman.and.West.AP</t>
  </si>
  <si>
    <t>Norwood.Meml.AP</t>
  </si>
  <si>
    <t>Orange.Muni.AP</t>
  </si>
  <si>
    <t>Pittsfield.Muni.AP</t>
  </si>
  <si>
    <t>Plymouth.Muni.AP</t>
  </si>
  <si>
    <t>Taunton.Muni.AP</t>
  </si>
  <si>
    <t>Westfield-Barnes.Rgnl.AP</t>
  </si>
  <si>
    <t>Worcester.Rgnl.AP</t>
  </si>
  <si>
    <t>MD</t>
  </si>
  <si>
    <t>Annapolis-US.Naval.Academy</t>
  </si>
  <si>
    <t>Baltimore-Washington.Intl-Marshall.AP</t>
  </si>
  <si>
    <t>Baltimore.Downtown</t>
  </si>
  <si>
    <t>Camp.Springs-JB.Andrews</t>
  </si>
  <si>
    <t>Hagerstown.Rgnl.AP</t>
  </si>
  <si>
    <t>NAS.Patuxent.River-Trapnell.Field</t>
  </si>
  <si>
    <t>NOLF.Webster</t>
  </si>
  <si>
    <t>Ocean.City.Muni.AP</t>
  </si>
  <si>
    <t>Salisbury-Ocean.City-Wicomico.Rgnl.AP</t>
  </si>
  <si>
    <t>ME</t>
  </si>
  <si>
    <t>Aroostook.Natl.Wildlife.Refuge-Fire.Training.Center</t>
  </si>
  <si>
    <t>Augusta.State.AP</t>
  </si>
  <si>
    <t>Bangor.Intl.AP</t>
  </si>
  <si>
    <t>Caribou.Muni.AP</t>
  </si>
  <si>
    <t>Frenchville-Northern.Aroostook.Rgnl.AP</t>
  </si>
  <si>
    <t>Fryeburg-Eastern.Slopes.Rgnl.AP</t>
  </si>
  <si>
    <t>Greenville.AMOS</t>
  </si>
  <si>
    <t>Houlton.Intl.AP</t>
  </si>
  <si>
    <t>Millinocket.Muni.AP</t>
  </si>
  <si>
    <t>Portland.Intl.Jetport</t>
  </si>
  <si>
    <t>Presque.Isle.Intl.AP</t>
  </si>
  <si>
    <t>Univ.Maine.Rogers.Farm</t>
  </si>
  <si>
    <t>Wiscasset.AP</t>
  </si>
  <si>
    <t>MI</t>
  </si>
  <si>
    <t>Adrian-Lenawee.County.AP</t>
  </si>
  <si>
    <t>Alpena-Alpena.County.Rgnl.AP-Collins.Field</t>
  </si>
  <si>
    <t>Ann.Arbor.Muni.AP</t>
  </si>
  <si>
    <t>Battle.Creek-Kellogg.AP</t>
  </si>
  <si>
    <t>Benton.Harbor-Southwest.Michigan.Rgnl.AP</t>
  </si>
  <si>
    <t>Cadillac-Wexford.County.AP</t>
  </si>
  <si>
    <t>Chatham</t>
  </si>
  <si>
    <t>Copper.Harbor</t>
  </si>
  <si>
    <t>Detroit-Young.Intl.AP</t>
  </si>
  <si>
    <t>Detroit.Metro.Wayne.County.AP</t>
  </si>
  <si>
    <t>Flint-Bishop.Intl.AP</t>
  </si>
  <si>
    <t>Gaylord.9.SSW</t>
  </si>
  <si>
    <t>Gaylord.Rgnl.AP</t>
  </si>
  <si>
    <t>Grand.Rapids-Ford.Intl.AP</t>
  </si>
  <si>
    <t>Holland-West.Michigan.Rgnl.AP</t>
  </si>
  <si>
    <t>Houghton-Hancock-Houghton.County.Meml.AP</t>
  </si>
  <si>
    <t>Houghton.Lake-Roscommon.County.AP</t>
  </si>
  <si>
    <t>Iron.Mountain-Ford.AP</t>
  </si>
  <si>
    <t>Jackson.County.AP-Reynolds.Field</t>
  </si>
  <si>
    <t>Kalamazoo-Battle.Creek.Intl.AP</t>
  </si>
  <si>
    <t>Lansing.Capital.Region.Intl.AP</t>
  </si>
  <si>
    <t>Midland-Bay.City-Saginaw-MBS.Intl.AP</t>
  </si>
  <si>
    <t>Mount.Clemens-Selfridge.ANGB</t>
  </si>
  <si>
    <t>Munising.Lakeshore</t>
  </si>
  <si>
    <t>Muskegon-Muskegon.County.AP</t>
  </si>
  <si>
    <t>Oscoda-Wurtsmith.AP</t>
  </si>
  <si>
    <t>Pellston.Rgnl.AP</t>
  </si>
  <si>
    <t>Pontiac-Oakland.County.Intl.AP</t>
  </si>
  <si>
    <t>Port.Hope-Lighthouse.County.Park</t>
  </si>
  <si>
    <t>Sault.Ste.Marie-Sanderson.Field.AP</t>
  </si>
  <si>
    <t>Traverse.City-Cherry.Capital.AP</t>
  </si>
  <si>
    <t>Ypsilanti-Willow.Run.AP</t>
  </si>
  <si>
    <t>MN</t>
  </si>
  <si>
    <t>Agassiz.Natl.Wildlife.Refuge</t>
  </si>
  <si>
    <t>Alexandria.Muni.AP-Chandler.Field</t>
  </si>
  <si>
    <t>Baudette.Intl.AP</t>
  </si>
  <si>
    <t>Brainerd.Lakes.Rgnl.AP</t>
  </si>
  <si>
    <t>Chisholm-Hibbing-Range.Rgnl.AP</t>
  </si>
  <si>
    <t>Duluth.Intl.AP-Duluth.ANGB</t>
  </si>
  <si>
    <t>Eden.Prairie-Flying.Cloud.AP</t>
  </si>
  <si>
    <t>Grand.Marais.Harbor</t>
  </si>
  <si>
    <t>International.Falls-Falls.Intl.AP</t>
  </si>
  <si>
    <t>Minneapolis-Crystal.AP</t>
  </si>
  <si>
    <t>Minneapolis-St.Paul.Intl.AP</t>
  </si>
  <si>
    <t>Park.Rapids.Muni.AP-Konshok.Field</t>
  </si>
  <si>
    <t>Redwood.Falls.Muni.AP</t>
  </si>
  <si>
    <t>Rochester.Intl.AP</t>
  </si>
  <si>
    <t>Sandstone-Audubon.Center.of.the.North.Woods</t>
  </si>
  <si>
    <t>St.Cloud.Rgnl.AP</t>
  </si>
  <si>
    <t>St.Paul.Downtown.AP-Holman.Field</t>
  </si>
  <si>
    <t>Worthington.Muni.AP</t>
  </si>
  <si>
    <t>MO</t>
  </si>
  <si>
    <t>Chillicothe-Linneus-Univ.Missouri.Forage.Systems.Research.Center</t>
  </si>
  <si>
    <t>Chillicothe-Litton.Agri.Science.Learning.Center</t>
  </si>
  <si>
    <t>Columbia.Rgnl.AP</t>
  </si>
  <si>
    <t>Farmington.Rgnl.AP</t>
  </si>
  <si>
    <t>Fort.Leonard.Wood-Waynesville-St.Robert.Rgnl.AP</t>
  </si>
  <si>
    <t>Jefferson.City.Meml.AP</t>
  </si>
  <si>
    <t>Joplin.Rgnl.AP</t>
  </si>
  <si>
    <t>Kansas.City-Wheeler.Downtown.AP</t>
  </si>
  <si>
    <t>Kansas.City.Intl.AP</t>
  </si>
  <si>
    <t>Kirksville.Rgnl.AP</t>
  </si>
  <si>
    <t>Lees.Summit.Muni.AP</t>
  </si>
  <si>
    <t>Lenox-White.River.Trace.Conservation.Area</t>
  </si>
  <si>
    <t>Mindenmines-Shawnee.Trail.Conservation.Area</t>
  </si>
  <si>
    <t>Poplar.Bluff.Muni.AP</t>
  </si>
  <si>
    <t>Portage.des.Sioux-St.Charles.County.AP-Smartt.Field</t>
  </si>
  <si>
    <t>Rolla.Natl.AP</t>
  </si>
  <si>
    <t>Sedalia.Meml.AP</t>
  </si>
  <si>
    <t>Springfield-Branson.Natl.AP</t>
  </si>
  <si>
    <t>St.Joseph-Rosecrans.Meml.AP</t>
  </si>
  <si>
    <t>St.Louis-Lambert.Intl.AP</t>
  </si>
  <si>
    <t>St.Louis-Spirit.of.St.Louis.AP</t>
  </si>
  <si>
    <t>West.Plains.Rgnl.AP</t>
  </si>
  <si>
    <t>Whiteman.AFB</t>
  </si>
  <si>
    <t>MS</t>
  </si>
  <si>
    <t>Biloxi-Keesler.AFB</t>
  </si>
  <si>
    <t>Columbus.AFB</t>
  </si>
  <si>
    <t>Greenville.Mid-Delta.Rgnl.AP</t>
  </si>
  <si>
    <t>Greenwood-Leflore.AP</t>
  </si>
  <si>
    <t>Gulfport-Biloxi.Intl.AP</t>
  </si>
  <si>
    <t>Hattiesburg-Chain.Muni.AP</t>
  </si>
  <si>
    <t>Hickory-Coastal.Plain.Experimental.Station</t>
  </si>
  <si>
    <t>Holly.Springs-Marshall.County.AP</t>
  </si>
  <si>
    <t>Jackson-Evers.Intl.AP</t>
  </si>
  <si>
    <t>Jackson-Hawkins.Field.AP</t>
  </si>
  <si>
    <t>McComb-Pike.County.AP-Lewis.Field</t>
  </si>
  <si>
    <t>Meridian.Rgnl.AP-Key.Field</t>
  </si>
  <si>
    <t>NAS.Meridian-McCain.Field</t>
  </si>
  <si>
    <t>Pascagoula-Lott.Intl.AP</t>
  </si>
  <si>
    <t>Tupelo.Rgnl.AP</t>
  </si>
  <si>
    <t>MT</t>
  </si>
  <si>
    <t>Baker.Muni.AP</t>
  </si>
  <si>
    <t>Bannack.State.Park</t>
  </si>
  <si>
    <t>Billings.Logan.Intl.AP</t>
  </si>
  <si>
    <t>Bozeman.Yellowstone.Intl.AP-Gallatin.Field</t>
  </si>
  <si>
    <t>Butte-Mooney.AP</t>
  </si>
  <si>
    <t>Cut.Bank.Intl.AP</t>
  </si>
  <si>
    <t>Dillon.AP</t>
  </si>
  <si>
    <t>Ft.Peck.SURFRAD</t>
  </si>
  <si>
    <t>Glacier.Natl.Park</t>
  </si>
  <si>
    <t>Glasgow.Intl.AP-Wokal.Field</t>
  </si>
  <si>
    <t>Great.Falls.Intl.AP</t>
  </si>
  <si>
    <t>Havre.City-County.AP</t>
  </si>
  <si>
    <t>Helena.Rgnl.AP</t>
  </si>
  <si>
    <t>Kalispell-Glacier.Park.Intl.AP</t>
  </si>
  <si>
    <t>Lewistown.Muni.AP</t>
  </si>
  <si>
    <t>Livingston-Mission.Field.AP</t>
  </si>
  <si>
    <t>Malmstrom.AFB</t>
  </si>
  <si>
    <t>Miles.City.Muni.AP-Wiley.Field</t>
  </si>
  <si>
    <t>Missoula.Intl.AP</t>
  </si>
  <si>
    <t>Wolf.Point-Clayton.AP</t>
  </si>
  <si>
    <t>Wolf.Point.34.NE</t>
  </si>
  <si>
    <t>NC</t>
  </si>
  <si>
    <t>Asheville.Rgnl.AP</t>
  </si>
  <si>
    <t>Beaufort-Smith.Field.AP</t>
  </si>
  <si>
    <t>Bent.Creek-North.Carolina.Arboretum</t>
  </si>
  <si>
    <t>Burlington.Alamance.Rgnl.AP</t>
  </si>
  <si>
    <t>Cape.Hatteras.Natl.Seashore-Mitchell.AP</t>
  </si>
  <si>
    <t>Charlotte-Monroe.Exec.AP</t>
  </si>
  <si>
    <t>Charlotte.Douglas.Intl.AP</t>
  </si>
  <si>
    <t>Durham.11.W</t>
  </si>
  <si>
    <t>Elizabeth.City.Rgnl.AP-CGAS.Elizabeth.City</t>
  </si>
  <si>
    <t>Fayetteville-Fort.Bragg-Pope.Field</t>
  </si>
  <si>
    <t>Fayetteville-Ft.Bragg-Simmons.AAF</t>
  </si>
  <si>
    <t>Fayetteville.Rgnl.AP-Grannis.Field</t>
  </si>
  <si>
    <t>Gastonia.Muni.AP</t>
  </si>
  <si>
    <t>Goldsboro-Seymour.Johnson.AFB</t>
  </si>
  <si>
    <t>Greensboro-Piedmont.Triad.Intl.AP</t>
  </si>
  <si>
    <t>Havelock-MCAS.Cherry.Point-Cunningham.Field</t>
  </si>
  <si>
    <t>Hickory.Rgnl.AP</t>
  </si>
  <si>
    <t>Jacksonville-MCAS.New.River-McCutcheon.Field</t>
  </si>
  <si>
    <t>Laurinburg-Maxton.AP</t>
  </si>
  <si>
    <t>Lumberton.Muni.AP</t>
  </si>
  <si>
    <t>Mills.River-Mountain.Horticulture.Crops.Research.and.Extension.Center</t>
  </si>
  <si>
    <t>New.Bern-Coastal.Carolina.Rgnl.AP</t>
  </si>
  <si>
    <t>Raleigh-Durham.Intl.AP</t>
  </si>
  <si>
    <t>Rocky.Mount-Wilson.Rgnl.AP</t>
  </si>
  <si>
    <t>Wilmington.Intl.AP</t>
  </si>
  <si>
    <t>Winston-Salem-Smith.Reynolds.AP</t>
  </si>
  <si>
    <t>ND</t>
  </si>
  <si>
    <t>Bismarck.Muni.AP</t>
  </si>
  <si>
    <t>Des.Lacs.Natl.Wildlife.Refuge</t>
  </si>
  <si>
    <t>Devils.Lake.Rgnl.AP</t>
  </si>
  <si>
    <t>Dickinson.Roosevelt.Rgnl.AP</t>
  </si>
  <si>
    <t>Fargo-Hector.Intl.AP</t>
  </si>
  <si>
    <t>Garrison.Muni.AP</t>
  </si>
  <si>
    <t>Grand.Forks.AFB</t>
  </si>
  <si>
    <t>Grand.Forks.Intl.AP</t>
  </si>
  <si>
    <t>Hettinger.Muni.AP</t>
  </si>
  <si>
    <t>Jamestown.Rgnl.AP</t>
  </si>
  <si>
    <t>Medora-Roosevelt.Natl.Park-Painted.Canyon</t>
  </si>
  <si>
    <t>Minot.AFB</t>
  </si>
  <si>
    <t>Minot.Intl.AP</t>
  </si>
  <si>
    <t>Williston-Sloulin.Field.Intl.AP</t>
  </si>
  <si>
    <t>NE</t>
  </si>
  <si>
    <t>Alliance.Muni.AP</t>
  </si>
  <si>
    <t>Bellevue-Offutt.AFB</t>
  </si>
  <si>
    <t>Broken.Bow.Muni.AP</t>
  </si>
  <si>
    <t>Chadron.Muni.AP</t>
  </si>
  <si>
    <t>Denton-Spring.Creek.Prairie.Audubon.Center</t>
  </si>
  <si>
    <t>Falls.City-Brenner.Field.AP</t>
  </si>
  <si>
    <t>Grand.Island-Central.Nebraska.Rgnl.AP</t>
  </si>
  <si>
    <t>Gudmundsen.Sandhills.Laboratory-East.Site</t>
  </si>
  <si>
    <t>Harrison-Agate.Fossil.Beds.Natl.Monument</t>
  </si>
  <si>
    <t>Hastings.Muni.AP</t>
  </si>
  <si>
    <t>Imperial.Muni.AP</t>
  </si>
  <si>
    <t>Lexington-Kelly.Field.AP</t>
  </si>
  <si>
    <t>Lincoln-Lancaster.County</t>
  </si>
  <si>
    <t>Lincoln.AP</t>
  </si>
  <si>
    <t>McCook.Nelson.Rgnl.AP</t>
  </si>
  <si>
    <t>Norfolk.Rgnl.AP-Stefan.Meml.Field</t>
  </si>
  <si>
    <t>North.Platte.Rgnl.AP-Bird.Field</t>
  </si>
  <si>
    <t>Omaha-Eppley.AF.Intl.AP</t>
  </si>
  <si>
    <t>Ord-Sharp.Field.AP</t>
  </si>
  <si>
    <t>Scottsbluff-Western.Nebraska.Rgnl.AP-Heilig.Field</t>
  </si>
  <si>
    <t>Sidney.Muni.AP-Carr.Field</t>
  </si>
  <si>
    <t>Tekamah.Muni.AP</t>
  </si>
  <si>
    <t>Valentine-Miller.Field.AP</t>
  </si>
  <si>
    <t>NH</t>
  </si>
  <si>
    <t>Berlin.Rgnl.AP</t>
  </si>
  <si>
    <t>Concord.Muni.AP</t>
  </si>
  <si>
    <t>Durham-Doe.Farm</t>
  </si>
  <si>
    <t>Jaffrey.AP-Silver.Ranch</t>
  </si>
  <si>
    <t>Lebanon.Muni.AP</t>
  </si>
  <si>
    <t>Madbury</t>
  </si>
  <si>
    <t>Manchester-Boston.Rgnl.AP</t>
  </si>
  <si>
    <t>Mt.Washington.Rgnl.AP</t>
  </si>
  <si>
    <t>Portsmouth.Intl.AP</t>
  </si>
  <si>
    <t>Rochester-Skyhaven.AP</t>
  </si>
  <si>
    <t>NJ</t>
  </si>
  <si>
    <t>Aeroflex.Andover.AP</t>
  </si>
  <si>
    <t>Atlantic.City.Intl.AP</t>
  </si>
  <si>
    <t>Bedminster-Somerset.AP</t>
  </si>
  <si>
    <t>Caldwell-Essex.County.AP</t>
  </si>
  <si>
    <t>JB.McGuire-Dix-Lakehurst-McGuire.AFB</t>
  </si>
  <si>
    <t>Lumberton-South.Jersey.Rgnl.AP</t>
  </si>
  <si>
    <t>Millville.Muni.AP</t>
  </si>
  <si>
    <t>Newark.Liberty.Intl.AP</t>
  </si>
  <si>
    <t>Sussex.AP</t>
  </si>
  <si>
    <t>Teterboro.AP</t>
  </si>
  <si>
    <t>Trenton-Mercer.AP</t>
  </si>
  <si>
    <t>NM</t>
  </si>
  <si>
    <t>Alamogordo-Holloman.AFB</t>
  </si>
  <si>
    <t>Albuquerque.Intl.Sunport</t>
  </si>
  <si>
    <t>Carlsbad-Cavern.City.AF</t>
  </si>
  <si>
    <t>Clayton.Muni.AF</t>
  </si>
  <si>
    <t>Clines.Corners</t>
  </si>
  <si>
    <t>Clovis-Cannon.AFB</t>
  </si>
  <si>
    <t>Deming.Muni.AP</t>
  </si>
  <si>
    <t>Farmington-Four.Corners.Rgnl.AP</t>
  </si>
  <si>
    <t>Gallup.Muni.AP</t>
  </si>
  <si>
    <t>Grants-Milan.Muni.AP</t>
  </si>
  <si>
    <t>Las.Cruces.20.N</t>
  </si>
  <si>
    <t>Las.Vegas.Muni.AP</t>
  </si>
  <si>
    <t>Raton.Muni.AP-Crews.Field</t>
  </si>
  <si>
    <t>Roswell.Intl.Air.Center</t>
  </si>
  <si>
    <t>Santa.Fe.Muni.AP</t>
  </si>
  <si>
    <t>Sevilleta.Natl.Wildlife.Refuge</t>
  </si>
  <si>
    <t>Truth.or.Consequences.Muni.AP</t>
  </si>
  <si>
    <t>Tucumcari.Muni.AP</t>
  </si>
  <si>
    <t>Valles.Caldera.Natl.Preserve</t>
  </si>
  <si>
    <t>NV</t>
  </si>
  <si>
    <t>Baker-Great.Basin.Lehman.Caves.Natl.Park</t>
  </si>
  <si>
    <t>Creech.AFB-Indian.Springs.Gunnery.Range</t>
  </si>
  <si>
    <t>Desert.Rock.AP</t>
  </si>
  <si>
    <t>Desert.Rock.SURFRAD</t>
  </si>
  <si>
    <t>Elko.Rgnl.AP-Harris.Field</t>
  </si>
  <si>
    <t>Ely.AP-Yelland.Field</t>
  </si>
  <si>
    <t>Eureka.AP-Bailey.Field</t>
  </si>
  <si>
    <t>Las.Vegas-McCarran.Intl.AP</t>
  </si>
  <si>
    <t>Las.Vegas-Nellis.AFB</t>
  </si>
  <si>
    <t>Lovelock-Derby.Field</t>
  </si>
  <si>
    <t>NAS.Fallon-Van.Voorhis.Field</t>
  </si>
  <si>
    <t>North.Las.Vegas.AP</t>
  </si>
  <si>
    <t>Reno-Tahoe.Intl.AP</t>
  </si>
  <si>
    <t>Sheldon.Natl.Antelope.Refuge</t>
  </si>
  <si>
    <t>Tonopah.AP</t>
  </si>
  <si>
    <t>Winnemucca.Muni.AP</t>
  </si>
  <si>
    <t>NY</t>
  </si>
  <si>
    <t>Albany.Intl.AP</t>
  </si>
  <si>
    <t>Binghamton-Greater.Binghamton.AP-Link.Field</t>
  </si>
  <si>
    <t>Brookhaven.Calabro.AP</t>
  </si>
  <si>
    <t>Buffalo.Niagara.Intl.AP</t>
  </si>
  <si>
    <t>Cornell.Univ.Cooperative.Extension.Dutchess.County-Institute.Ecosystems.Studies</t>
  </si>
  <si>
    <t>Cornell.Univ.Teaching.Dairy.Barn</t>
  </si>
  <si>
    <t>Dansville.Muni.AP</t>
  </si>
  <si>
    <t>Dunkirk.AP</t>
  </si>
  <si>
    <t>Elmira-Corning.Rgnl.AP</t>
  </si>
  <si>
    <t>Farmingdale-Republic.AP</t>
  </si>
  <si>
    <t>Fulton-Oswego.County.AP</t>
  </si>
  <si>
    <t>Glens.Falls-Bennett.Meml.AP</t>
  </si>
  <si>
    <t>Islip-Long.Island.MacArthur.AP</t>
  </si>
  <si>
    <t>Massena.Intl.AP-Richards.Field</t>
  </si>
  <si>
    <t>Montauk.AP</t>
  </si>
  <si>
    <t>Montgomery-Orange.County.AP</t>
  </si>
  <si>
    <t>New.York-Central.Park.Obs-Belvedere.Castle</t>
  </si>
  <si>
    <t>New.York-Kennedy.Intl.AP</t>
  </si>
  <si>
    <t>New.York-LaGuardia.AP</t>
  </si>
  <si>
    <t>Niagara.Falls.Intl.AP</t>
  </si>
  <si>
    <t>Penn.Yan.AP</t>
  </si>
  <si>
    <t>Plattsburgh.Intl.AP</t>
  </si>
  <si>
    <t>Poughkeepsie-Hudson.Valley.Rgnl.AP</t>
  </si>
  <si>
    <t>Rochester-Greater.Rochester.Intl.AP</t>
  </si>
  <si>
    <t>Rome-Griffiss.Intl.AP</t>
  </si>
  <si>
    <t>Saranac.Lake-Adirondack.Rgnl.AP</t>
  </si>
  <si>
    <t>Syracuse.Hancock.Intl.AP</t>
  </si>
  <si>
    <t>Watertown-Fort.Drum-Wheeler-Sack.AAF</t>
  </si>
  <si>
    <t>Watertown.Intl.AP</t>
  </si>
  <si>
    <t>Wellsville.Muni.AP-Tarantine.Field</t>
  </si>
  <si>
    <t>Westhampton-Gabreski.AP</t>
  </si>
  <si>
    <t>White.Plains-Westchester.County.AP</t>
  </si>
  <si>
    <t>OH</t>
  </si>
  <si>
    <t>Akron-Canton.AP</t>
  </si>
  <si>
    <t>Akron.Fulton.Intl.AP</t>
  </si>
  <si>
    <t>Cincinnati.Muni.AP-Lunken.Field</t>
  </si>
  <si>
    <t>Cleveland-Burke.Lakefront.AP</t>
  </si>
  <si>
    <t>Cleveland.Hopkins.Intl.AP</t>
  </si>
  <si>
    <t>Columbus-Glenn.Columbus.Intl.AP</t>
  </si>
  <si>
    <t>Columbus-Ohio.State.Univ.AP</t>
  </si>
  <si>
    <t>Columbus-Rickenbacker.ANGB</t>
  </si>
  <si>
    <t>Dayton-Wright-Patterson.AFB</t>
  </si>
  <si>
    <t>Dayton-Wright.Brothers.AP</t>
  </si>
  <si>
    <t>Dayton.Intl.AP</t>
  </si>
  <si>
    <t>Defiance.Meml.AP</t>
  </si>
  <si>
    <t>Findlay.AP</t>
  </si>
  <si>
    <t>Hamilton-Butler.County.Rgnl.AP</t>
  </si>
  <si>
    <t>Jefferson-Northeast.Ohio.Rgnl.AP</t>
  </si>
  <si>
    <t>Lancaster-Fairfield.County.AP</t>
  </si>
  <si>
    <t>Lima.Allen.County.AP</t>
  </si>
  <si>
    <t>Lorain.County.Rgnl.AP</t>
  </si>
  <si>
    <t>Mansfield.Lahm.Rgnl.AP</t>
  </si>
  <si>
    <t>Marion.Muni.AP</t>
  </si>
  <si>
    <t>New.Philadelphia-Clever.Field.AP</t>
  </si>
  <si>
    <t>Newark-Heath.AP</t>
  </si>
  <si>
    <t>Smithville-Wayne.County.AP</t>
  </si>
  <si>
    <t>Toledo.Exec.AP-Metcalf.Field</t>
  </si>
  <si>
    <t>Toledo.Express.AP</t>
  </si>
  <si>
    <t>Wilmington.WSFO</t>
  </si>
  <si>
    <t>Youngstown-Warren.Rgnl.AP</t>
  </si>
  <si>
    <t>Zanesville.Muni.AP</t>
  </si>
  <si>
    <t>OK</t>
  </si>
  <si>
    <t>Altus.AFB</t>
  </si>
  <si>
    <t>Bartlesville.Muni.AP-Phillips.Field</t>
  </si>
  <si>
    <t>Clinton-Sherman.Indl.AF</t>
  </si>
  <si>
    <t>Enid-Vance.AFB</t>
  </si>
  <si>
    <t>Frederick.Rgnl.AP</t>
  </si>
  <si>
    <t>Gage-Shattuck.AP</t>
  </si>
  <si>
    <t>Goodwell</t>
  </si>
  <si>
    <t>Guthrie-Edmond.Rgnl.AP</t>
  </si>
  <si>
    <t>Guymon.Muni.AP</t>
  </si>
  <si>
    <t>Hobart.Rgnl.AP</t>
  </si>
  <si>
    <t>Lawton-Ft.Sill-Post.AAF</t>
  </si>
  <si>
    <t>Lawton-Ft.Sill.Rgnl.AP</t>
  </si>
  <si>
    <t>McAlester.Rgnl.AP</t>
  </si>
  <si>
    <t>Muskogee-Davis.Rgnl.AP</t>
  </si>
  <si>
    <t>Oklahoma.City-Post.AP</t>
  </si>
  <si>
    <t>Oklahoma.City-Rogers.World.AP</t>
  </si>
  <si>
    <t>Oklahoma.City-Tinker.AFB</t>
  </si>
  <si>
    <t>Oklahoma.State.Univ.Site.A</t>
  </si>
  <si>
    <t>Oklahoma.State.Univ.Site.B</t>
  </si>
  <si>
    <t>Ponca.City.Rgnl.AP</t>
  </si>
  <si>
    <t>Stillwater.Rgnl.AP-Searcy.Field</t>
  </si>
  <si>
    <t>Tulsa-Jones.AP</t>
  </si>
  <si>
    <t>Tulsa.Intl.AP</t>
  </si>
  <si>
    <t>OR</t>
  </si>
  <si>
    <t>Astoria.Rgnl.AP</t>
  </si>
  <si>
    <t>Aurora.State.AP-Lematta.Field</t>
  </si>
  <si>
    <t>Baker.City.Muni.AP</t>
  </si>
  <si>
    <t>Burns.Muni.AP</t>
  </si>
  <si>
    <t>Crater.Lake-Klamath.Rgnl.AP</t>
  </si>
  <si>
    <t>Day.Fossil.Beds.Natl.Monument</t>
  </si>
  <si>
    <t>Eugene.AP-Sweet.Field</t>
  </si>
  <si>
    <t>Finley.Natl.Wildlife.Refuge</t>
  </si>
  <si>
    <t>Grants.Pass-Sexton.Summit</t>
  </si>
  <si>
    <t>Hermiston.Muni.AP</t>
  </si>
  <si>
    <t>La.Grande-Union.County.AP</t>
  </si>
  <si>
    <t>McMinnville.Muni.AP</t>
  </si>
  <si>
    <t>Meacham</t>
  </si>
  <si>
    <t>Medford-Rogue.Valley.Intl-Medford.AP</t>
  </si>
  <si>
    <t>Newport.Muni.AP</t>
  </si>
  <si>
    <t>North.Bend-Southwest.Oregon.Rgnl.AP</t>
  </si>
  <si>
    <t>Ontario.Muni.AP</t>
  </si>
  <si>
    <t>Pendleton-Eastern.Oregon.Rgnl.AP</t>
  </si>
  <si>
    <t>Portland-Hillsboro.AP</t>
  </si>
  <si>
    <t>Portland-Troutdale.AP</t>
  </si>
  <si>
    <t>Portland.Intl.AP</t>
  </si>
  <si>
    <t>Redmond.Muni.AP-Roberts.Field</t>
  </si>
  <si>
    <t>Riley-Natl.Great.Basin.Experimental.Range</t>
  </si>
  <si>
    <t>Rome.State.AP</t>
  </si>
  <si>
    <t>Roseburg.Rgnl.AP-Carl.Meml.Field</t>
  </si>
  <si>
    <t>Salem.Muni.AP-McNary.Field</t>
  </si>
  <si>
    <t>Scappoose.Indl.AF</t>
  </si>
  <si>
    <t>PA</t>
  </si>
  <si>
    <t>Allentown-Lehigh.Valley.Intl.AP</t>
  </si>
  <si>
    <t>Bradford.Rgnl.AP</t>
  </si>
  <si>
    <t>Clearfield-Lawrence.Township.AP</t>
  </si>
  <si>
    <t>Doylestown.AP</t>
  </si>
  <si>
    <t>Erie.Intl.AP-Ridge.Field</t>
  </si>
  <si>
    <t>Harrisburg-Capital.City.AP</t>
  </si>
  <si>
    <t>Harrisburg.Intl.AP</t>
  </si>
  <si>
    <t>Johnstown-Cambria.County.AP</t>
  </si>
  <si>
    <t>Lancaster.AP</t>
  </si>
  <si>
    <t>Martinsburg-Altoona-Blair.County.AP</t>
  </si>
  <si>
    <t>Philadelphia-Northeast.Philadelphia.AP</t>
  </si>
  <si>
    <t>Philadelphia.Intl.AP</t>
  </si>
  <si>
    <t>Pittsburgh-Allegheny.County.AP</t>
  </si>
  <si>
    <t>Pittsburgh.Intl.AP</t>
  </si>
  <si>
    <t>Pocono.Mountains.Muni.AP</t>
  </si>
  <si>
    <t>Port.Meadville.AP</t>
  </si>
  <si>
    <t>Pottstown-Heritage.Field.AP</t>
  </si>
  <si>
    <t>Reading.Rgnl.AP-Spaatz.Field</t>
  </si>
  <si>
    <t>Reynoldsville-DuBois.Rgnl.AP</t>
  </si>
  <si>
    <t>Selinsgrove-Penn.Valley.AP</t>
  </si>
  <si>
    <t>Stroud.Water.Research.Center</t>
  </si>
  <si>
    <t>Wilkes-Barre-Scranton.Intl.AP</t>
  </si>
  <si>
    <t>Williamsport.Rgnl.AP</t>
  </si>
  <si>
    <t>York.AP</t>
  </si>
  <si>
    <t>RI</t>
  </si>
  <si>
    <t>Block.Island.State.AP</t>
  </si>
  <si>
    <t>Kingston-Univ.Rhode.Island</t>
  </si>
  <si>
    <t>Kingston.1.W</t>
  </si>
  <si>
    <t>Newport.State.AP</t>
  </si>
  <si>
    <t>Providence-Green.Intl.State.AP</t>
  </si>
  <si>
    <t>Westerly.State.AP</t>
  </si>
  <si>
    <t>SC</t>
  </si>
  <si>
    <t>Anderson.Rgnl.AP</t>
  </si>
  <si>
    <t>Clemson.Univ.Edisto.Research.Center</t>
  </si>
  <si>
    <t>Columbia-Hamilton-Owens.AP</t>
  </si>
  <si>
    <t>Columbia.Metro.AP</t>
  </si>
  <si>
    <t>Florence.Rgnl.AP</t>
  </si>
  <si>
    <t>Greenville-Spartanburg.Intl.AP</t>
  </si>
  <si>
    <t>Greenville.Downtown.AP</t>
  </si>
  <si>
    <t>Greenwood.County.AP</t>
  </si>
  <si>
    <t>JB.Charleston-Charleston.Intl.AP</t>
  </si>
  <si>
    <t>MCAS.Beaufort-Merritt.Field</t>
  </si>
  <si>
    <t>McClellanville-Santee.Coastal.Reserve</t>
  </si>
  <si>
    <t>North.Myrtle.Beach-Grand.Strand.AP</t>
  </si>
  <si>
    <t>Orangeburg.Muni.AP</t>
  </si>
  <si>
    <t>Rock.Hill-York.County.AP-Bryant.Field</t>
  </si>
  <si>
    <t>Seneca-Oconee.County.Rgnl.AP</t>
  </si>
  <si>
    <t>Sumter-Shaw.AFB</t>
  </si>
  <si>
    <t>SD</t>
  </si>
  <si>
    <t>Aberdeen.Rgnl.AP</t>
  </si>
  <si>
    <t>Buffalo-State.Experimental.Farm.and.Antelope.Reserve</t>
  </si>
  <si>
    <t>Buffalo</t>
  </si>
  <si>
    <t>Chamberlain.Muni.AP</t>
  </si>
  <si>
    <t>Custer.County.AP</t>
  </si>
  <si>
    <t>Faith.Muni.AP</t>
  </si>
  <si>
    <t>Ft.Pierre.Natl.Grassland</t>
  </si>
  <si>
    <t>Huron.Rgnl.AP</t>
  </si>
  <si>
    <t>Mitchell.Muni.AP</t>
  </si>
  <si>
    <t>Mobridge.Muni.AP</t>
  </si>
  <si>
    <t>Nature.Conservancy-Ordway</t>
  </si>
  <si>
    <t>Philip.Muni.AP</t>
  </si>
  <si>
    <t>Pine.Ridge.AP</t>
  </si>
  <si>
    <t>Rapid.City-Ellsworth.AFB</t>
  </si>
  <si>
    <t>Rapid.City.Rgnl.AP</t>
  </si>
  <si>
    <t>Sioux.Falls.Climate.SURFRAD</t>
  </si>
  <si>
    <t>Sioux.Falls.Rgnl.AP-Foss.Field</t>
  </si>
  <si>
    <t>Sisseton.Muni.AP</t>
  </si>
  <si>
    <t>Watertown.Rgnl.AP</t>
  </si>
  <si>
    <t>Winner.Rgnl.AP</t>
  </si>
  <si>
    <t>Yankton-Gurney.Muni.AP</t>
  </si>
  <si>
    <t>TN</t>
  </si>
  <si>
    <t>Bristol-Tri-Cities.Rgnl.AP</t>
  </si>
  <si>
    <t>Chattanooga.Metro.AP-Lovell.Field</t>
  </si>
  <si>
    <t>Clarksville.Rgnl.AP-Outlaw.Field</t>
  </si>
  <si>
    <t>Crossville-Univ.Tennessee.Plateau.Research.and.Education.Center</t>
  </si>
  <si>
    <t>Crossville.Meml.AP-Whitson.Field</t>
  </si>
  <si>
    <t>Dyersburg.Rgnl.AP</t>
  </si>
  <si>
    <t>Jackson-McKellar-Sipes.Rgnl.AP</t>
  </si>
  <si>
    <t>Knoxville-McGhee.Tyson.AP</t>
  </si>
  <si>
    <t>Memphis.Intl.AP</t>
  </si>
  <si>
    <t>Millington-Memphis.AP-NSA.Mid.South</t>
  </si>
  <si>
    <t>Nashville.Intl.AP</t>
  </si>
  <si>
    <t>Oak.Ridge</t>
  </si>
  <si>
    <t>Smyrna-Rutherford.County.AP</t>
  </si>
  <si>
    <t>TX</t>
  </si>
  <si>
    <t>Abilene-Dyess.AFB</t>
  </si>
  <si>
    <t>Abilene.Rgnl.AP</t>
  </si>
  <si>
    <t>Alice.Intl.AP</t>
  </si>
  <si>
    <t>Amarillo-Husband.Amarillo.Intl.AP</t>
  </si>
  <si>
    <t>Angleton-Texas.Gulf.Coast.Rgnl.AP</t>
  </si>
  <si>
    <t>Aransas.Natl.Wildlife.Refuge</t>
  </si>
  <si>
    <t>Arlington.Muni.AP</t>
  </si>
  <si>
    <t>Austin-Bergstrom.Intl.AP</t>
  </si>
  <si>
    <t>Austin-Camp.Mabry.ANGB</t>
  </si>
  <si>
    <t>Beaumont-Port.Arthur-Brooks.Rgnl.AP</t>
  </si>
  <si>
    <t>Big.Bend.Natl.Park-Panther.Junction</t>
  </si>
  <si>
    <t>Borger-Hutchinson.County.AP</t>
  </si>
  <si>
    <t>Brownsville-South.Padre.Island.Intl.AP</t>
  </si>
  <si>
    <t>Burnet.Muni.AP-Craddock.Field</t>
  </si>
  <si>
    <t>Childress.Muni.AP</t>
  </si>
  <si>
    <t>College.Station-Easterwood.AP</t>
  </si>
  <si>
    <t>Conroe-North.Houston.Rgnl.AP</t>
  </si>
  <si>
    <t>Corpus.Christi.Intl.AP</t>
  </si>
  <si>
    <t>Corsicana.Muni.AP-Campbell.Field</t>
  </si>
  <si>
    <t>Cotulla-La.Salle.County.AP</t>
  </si>
  <si>
    <t>Dalhart.Muni.AP</t>
  </si>
  <si>
    <t>Dallas-Fort.Worth.Intl.AP</t>
  </si>
  <si>
    <t>Dallas.Exec.AP</t>
  </si>
  <si>
    <t>Del.Rio-Laughlin.AFB</t>
  </si>
  <si>
    <t>Del.Rio.Intl.AP</t>
  </si>
  <si>
    <t>Denton.Enterprise.AP</t>
  </si>
  <si>
    <t>El.Paso.Intl.AP</t>
  </si>
  <si>
    <t>Flying.X.Ranch.AP</t>
  </si>
  <si>
    <t>Fort.Stockton.Pecos.County.AP</t>
  </si>
  <si>
    <t>Fort.Worth-NAS.JRB.Fort.Worth-Carswell.Field</t>
  </si>
  <si>
    <t>Fort.Worth.Alliance.AP</t>
  </si>
  <si>
    <t>Fort.Worth.Meacham.Intl.AP</t>
  </si>
  <si>
    <t>Galveston.Scholes.Intl.AP</t>
  </si>
  <si>
    <t>Harlingen-Valley.Intl.AP</t>
  </si>
  <si>
    <t>Hondo-South.Texas.Rgnl.AP</t>
  </si>
  <si>
    <t>Houston-Bush.Intercontinental.AP</t>
  </si>
  <si>
    <t>Houston-Hobby.AP</t>
  </si>
  <si>
    <t>Houston-Hooks.Meml.AP</t>
  </si>
  <si>
    <t>Huntsville.Muni.AP</t>
  </si>
  <si>
    <t>Junction-Kimble.County.AP</t>
  </si>
  <si>
    <t>Killeen-Fort.Hood-Hood.AAF</t>
  </si>
  <si>
    <t>Killeen-Fort.Hood.Rgnl.AP-Gray.AAF</t>
  </si>
  <si>
    <t>Laredo.Intl.AP</t>
  </si>
  <si>
    <t>Longview-East.Texas.Rgnl.AP</t>
  </si>
  <si>
    <t>Lower.Rio.Grande.Valley.Natl.Wildlife.Refuge</t>
  </si>
  <si>
    <t>Lubbock.Smith.Intl.AP</t>
  </si>
  <si>
    <t>Lufkin-Angelina.County.AP</t>
  </si>
  <si>
    <t>McAllen.Miller.Intl.AP</t>
  </si>
  <si>
    <t>McKinney.Natl.AP</t>
  </si>
  <si>
    <t>Midland.Intl.Air.and.Space.Port</t>
  </si>
  <si>
    <t>Mineral.Wells.AP</t>
  </si>
  <si>
    <t>Monahans.Sandhills.State.Park</t>
  </si>
  <si>
    <t>Muleshoe.Natl.Wildlife.Refuge</t>
  </si>
  <si>
    <t>NAS.Corpus.Christi-Truax.Field</t>
  </si>
  <si>
    <t>NAS.Kingsville</t>
  </si>
  <si>
    <t>NASA.Natl.Scientific.Balloon.Facility</t>
  </si>
  <si>
    <t>New.Braunfels.Rgnl.AP</t>
  </si>
  <si>
    <t>Oak.Creek.Reservoir</t>
  </si>
  <si>
    <t>Odessa-Schlemeyer.Field.AP</t>
  </si>
  <si>
    <t>Palacios.Muni.AP</t>
  </si>
  <si>
    <t>Pearland.Rgnl.AP-Clover.Field</t>
  </si>
  <si>
    <t>Port.Isabel-Cameron.County.AP</t>
  </si>
  <si>
    <t>Rockport-Aransas.County.AP</t>
  </si>
  <si>
    <t>San.Angelo.Rgnl.AP-Mathis.Field</t>
  </si>
  <si>
    <t>San.Antonio-JB.San.Antonio-Kelly.Field.Annex</t>
  </si>
  <si>
    <t>San.Antonio-JB.San.Antonio-Randolph.AFB</t>
  </si>
  <si>
    <t>San.Antonio-Stinson.Muni.AP</t>
  </si>
  <si>
    <t>San.Antonio.Intl.AP</t>
  </si>
  <si>
    <t>Sanderson-Terrell.County.AP</t>
  </si>
  <si>
    <t>Sugar.Land.Rgnl.AP</t>
  </si>
  <si>
    <t>Terrell.Muni.AP</t>
  </si>
  <si>
    <t>Tyler.Pounds.Rgnl.AP</t>
  </si>
  <si>
    <t>Victoria.Rgnl.AP</t>
  </si>
  <si>
    <t>Waco.Rgnl.AP</t>
  </si>
  <si>
    <t>Wichita.Falls.Muni.AP-Sheppard.AFB</t>
  </si>
  <si>
    <t>Wink-Winkler.County.AP</t>
  </si>
  <si>
    <t>UT</t>
  </si>
  <si>
    <t>Bryce.Canyon.AP</t>
  </si>
  <si>
    <t>Capitol.Reef.Natl.Park</t>
  </si>
  <si>
    <t>Cedar.City.Rgnl.AP</t>
  </si>
  <si>
    <t>Logan-Cache.AP</t>
  </si>
  <si>
    <t>Milford.Muni.AP</t>
  </si>
  <si>
    <t>Moab-Canyonlands.Field.AP</t>
  </si>
  <si>
    <t>Ogden-Hill.AFB</t>
  </si>
  <si>
    <t>Ogden-Hinckley.AP</t>
  </si>
  <si>
    <t>Price-Carbon.County.Rgnl.AP-Davis.Field</t>
  </si>
  <si>
    <t>Promontory-Golden.Spike.Natl.Historic.Site</t>
  </si>
  <si>
    <t>Salt.Lake.City.Intl.AP</t>
  </si>
  <si>
    <t>Vernal.Rgnl.AP</t>
  </si>
  <si>
    <t>Wendover.AP</t>
  </si>
  <si>
    <t>VA</t>
  </si>
  <si>
    <t>Arlington-Reagan.Washington.Natl.AP</t>
  </si>
  <si>
    <t>Ashland-Hanover.County.Muni.AP</t>
  </si>
  <si>
    <t>Charlottesville-Albemarle.AP</t>
  </si>
  <si>
    <t>Charlottesville-Monticello</t>
  </si>
  <si>
    <t>Danville.Rgnl.AP</t>
  </si>
  <si>
    <t>Dulles-Washington.Dulles.Intl.AP</t>
  </si>
  <si>
    <t>Ft.Eustis-Felker.AAF</t>
  </si>
  <si>
    <t>Hampton-JB.Langley-Eustis-Langley.Field</t>
  </si>
  <si>
    <t>Lorton-Ft.Belvoir-Davison.AAF</t>
  </si>
  <si>
    <t>Lynchburg.Rgnl.AP-Glen.Field</t>
  </si>
  <si>
    <t>NASA.Wallops.Flight.Facility.AP</t>
  </si>
  <si>
    <t>Newport.News-Williamsburg.Intl.AP</t>
  </si>
  <si>
    <t>Norfolk-NS.Norfolk-Chambers.Field</t>
  </si>
  <si>
    <t>Norfolk.Intl.AP</t>
  </si>
  <si>
    <t>Quantico-MCB.Quantico-MCAF.Quantico-Turner.Field</t>
  </si>
  <si>
    <t>Richmond.Intl.AP</t>
  </si>
  <si>
    <t>Roanoke-Blacksburg.Rgnl.AP-Woodrum.Field</t>
  </si>
  <si>
    <t>Univ.Virginia.Coast.Reserve</t>
  </si>
  <si>
    <t>Virginia.Beach-NAS.Oceana</t>
  </si>
  <si>
    <t>Wakefield.Muni.AP</t>
  </si>
  <si>
    <t>VT</t>
  </si>
  <si>
    <t>Bennington-Morse.State.AP</t>
  </si>
  <si>
    <t>Burlington.Intl.AP</t>
  </si>
  <si>
    <t>Montpelier-Knapp.State.AP</t>
  </si>
  <si>
    <t>Morrisville-Stowe.State.AP</t>
  </si>
  <si>
    <t>Springfield-Hartness.State.AP</t>
  </si>
  <si>
    <t>St.Johnsbury.AMOS</t>
  </si>
  <si>
    <t>WA</t>
  </si>
  <si>
    <t>Bellingham.Intl.AP</t>
  </si>
  <si>
    <t>Deer.Park.AP</t>
  </si>
  <si>
    <t>Ellensburg-Bowers.Field.AP</t>
  </si>
  <si>
    <t>Ephrata.Muni.AP</t>
  </si>
  <si>
    <t>Everett-Paine.Field-Snohomish.County.AP</t>
  </si>
  <si>
    <t>Friday.Harbor.AP</t>
  </si>
  <si>
    <t>Grays.Harbor-Lake.Quinalt</t>
  </si>
  <si>
    <t>Hoquiam-Bowerman.AP</t>
  </si>
  <si>
    <t>Kelso-Longview-Southwest.Washington.Rgnl.AP</t>
  </si>
  <si>
    <t>Marblemount.Ranger.Station-Lookout.Mountain</t>
  </si>
  <si>
    <t>Moses.Lake-Grant.County.Intl.AP</t>
  </si>
  <si>
    <t>Oak.Harbor-NAS.Whidbey.Island-Ault.Field</t>
  </si>
  <si>
    <t>Olympia.Rgnl.AP</t>
  </si>
  <si>
    <t>Omak.AP</t>
  </si>
  <si>
    <t>Pasco-Tri.Cities.AP</t>
  </si>
  <si>
    <t>Port.Angeles-Fairchild.Intl.AP</t>
  </si>
  <si>
    <t>Pullman-Moscow.Rgnl.AP</t>
  </si>
  <si>
    <t>Quillayute.AP</t>
  </si>
  <si>
    <t>Renton.Muni.AP</t>
  </si>
  <si>
    <t>Seattle-King.County.Intl.AP-Boeing.Field</t>
  </si>
  <si>
    <t>Seattle-Tacoma.Intl.AP</t>
  </si>
  <si>
    <t>Shelton-Sanderson.Field.AP</t>
  </si>
  <si>
    <t>Spokane-Fairchild.AFB</t>
  </si>
  <si>
    <t>Spokane-Felts.Field</t>
  </si>
  <si>
    <t>Spokane.Intl.AP</t>
  </si>
  <si>
    <t>Tacoma-JB.Lewis-McChord-Gray.AAF</t>
  </si>
  <si>
    <t>Tacoma-JB.Lewis-McChord-McChord.Field</t>
  </si>
  <si>
    <t>Tacoma.Narrows.AP</t>
  </si>
  <si>
    <t>The.Dalles-Columbia.Gorge.Rgnl.AP</t>
  </si>
  <si>
    <t>Turnbull.Natl.Wildlife.Refuge</t>
  </si>
  <si>
    <t>Vancouver-Pearson.Field.AP</t>
  </si>
  <si>
    <t>Walla.Walla.Rgnl.AP</t>
  </si>
  <si>
    <t>Wenatchee-Pangborn.Meml.AP</t>
  </si>
  <si>
    <t>Yakima.AF-McAllister.Field</t>
  </si>
  <si>
    <t>WI</t>
  </si>
  <si>
    <t>Ashland-Kennedy.Meml.AP</t>
  </si>
  <si>
    <t>Boscobel.AP</t>
  </si>
  <si>
    <t>Eau.Claire-Chippewa.Valley.Rgnl.AP</t>
  </si>
  <si>
    <t>Fond.Du.Lac.County.AP</t>
  </si>
  <si>
    <t>Green.Bay-Straubel.Intl.AP</t>
  </si>
  <si>
    <t>Hayward.Muni.AP</t>
  </si>
  <si>
    <t>Kenosha.Rgnl.AP</t>
  </si>
  <si>
    <t>La.Crosse.Rgnl.AP</t>
  </si>
  <si>
    <t>Lone.Rock-Tri-County.Rgnl.AP</t>
  </si>
  <si>
    <t>Madison-Dane.County.Rgnl.AP-Truax.Field</t>
  </si>
  <si>
    <t>Marshfield.Muni.AP</t>
  </si>
  <si>
    <t>Milwaukee-Mitchell.Intl.AP</t>
  </si>
  <si>
    <t>Necedah.Natl.Wildlife.Refuge</t>
  </si>
  <si>
    <t>Oshkosh-Wittman.Rgnl.AP</t>
  </si>
  <si>
    <t>Racine-Batten.Intl.AP</t>
  </si>
  <si>
    <t>Rhinelander-Oneida.County.AP</t>
  </si>
  <si>
    <t>Sheboygan.Falls-Sheboygan.County.Meml.AP</t>
  </si>
  <si>
    <t>Volk.Field.ANGB</t>
  </si>
  <si>
    <t>Wausau.Downtown.AP</t>
  </si>
  <si>
    <t>Wisconsin.Rapids-South.Wood.County.AP-Alexander.Field</t>
  </si>
  <si>
    <t>WV</t>
  </si>
  <si>
    <t>Beckley-Raleigh.County.Meml.AP</t>
  </si>
  <si>
    <t>Bluefield-Mercer.County.AP</t>
  </si>
  <si>
    <t>Charleston-Yeager.AP</t>
  </si>
  <si>
    <t>Clarksburg-Bridgeport-North.Central.West.Virginia.AP</t>
  </si>
  <si>
    <t>Elkins-Randolph.County.Rgnl.AP</t>
  </si>
  <si>
    <t>Elkins.21.ENE</t>
  </si>
  <si>
    <t>Huntington-Tri-State.AP-Ferguson.Field</t>
  </si>
  <si>
    <t>Martinsburg-Eastern.West.Virginia.Rgnl.AP-Shepherd.Field</t>
  </si>
  <si>
    <t>Morgantown.Muni.AP-Hart.Field</t>
  </si>
  <si>
    <t>Parkersburg-Mid-Ohio.Valley.Rgnl.AP-Wilson.Field</t>
  </si>
  <si>
    <t>Wheeling.Ohio.County.AP</t>
  </si>
  <si>
    <t>WY</t>
  </si>
  <si>
    <t>Big.Piney-Marbleton.AP</t>
  </si>
  <si>
    <t>Buffalo-Johnson.County.AP</t>
  </si>
  <si>
    <t>Casper-Natrona.County.Intl.AP</t>
  </si>
  <si>
    <t>Cheyenne.Rgnl.AP</t>
  </si>
  <si>
    <t>Douglas-Converse.County.AP</t>
  </si>
  <si>
    <t>Evanston-Uinta.County.AP-Burns.Field</t>
  </si>
  <si>
    <t>Gillette-Campbell.County.AP</t>
  </si>
  <si>
    <t>Grand.Teton.Natl.Park</t>
  </si>
  <si>
    <t>Greybull-South.Big.Horn.County.AP</t>
  </si>
  <si>
    <t>Lander-Hunt.Field.AP</t>
  </si>
  <si>
    <t>Laramie.Rgnl.AP-Brees.Field</t>
  </si>
  <si>
    <t>Nature.Conservancy-Red.Canyon.Ranch</t>
  </si>
  <si>
    <t>Rawlins.Muni.AP-Harvey.Field</t>
  </si>
  <si>
    <t>Riverton.Rgnl.AP</t>
  </si>
  <si>
    <t>Rock.Springs-Sweetwater.County.AP</t>
  </si>
  <si>
    <t>Sheridan.County.AP</t>
  </si>
  <si>
    <t>Sundance.8.NNW</t>
  </si>
  <si>
    <t>Torrington.Muni.AP</t>
  </si>
  <si>
    <t>Worland.Muni.AP</t>
  </si>
  <si>
    <t>Yellowstone.Natl.Park</t>
  </si>
  <si>
    <t>VIR</t>
  </si>
  <si>
    <t>St.Croix-Christiansted-Rohlsen.AP</t>
  </si>
  <si>
    <t>ST</t>
  </si>
  <si>
    <t>St.Thomas-Charlotte.Amalie-King.Intl.AP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</si>
</sst>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D7C26-E72F-4AB9-90DA-5B49FD3628D6}">
  <dimension ref="A1:J198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74.85546875" bestFit="1" customWidth="1"/>
    <col min="4" max="4" width="7" style="2" bestFit="1" customWidth="1"/>
    <col min="5" max="5" width="16.28515625" bestFit="1" customWidth="1"/>
    <col min="7" max="7" width="10.42578125" customWidth="1"/>
  </cols>
  <sheetData>
    <row r="1" spans="1:10" ht="45" x14ac:dyDescent="0.25">
      <c r="A1" t="s">
        <v>0</v>
      </c>
      <c r="B1" t="s">
        <v>1</v>
      </c>
      <c r="C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 s="2">
        <v>917650</v>
      </c>
      <c r="E2" t="s">
        <v>13</v>
      </c>
      <c r="F2">
        <v>-14.3306</v>
      </c>
      <c r="G2">
        <v>-170.71360000000001</v>
      </c>
      <c r="H2">
        <v>-11</v>
      </c>
      <c r="I2">
        <v>3.7</v>
      </c>
      <c r="J2" t="str">
        <f>HYPERLINK("https://climate.onebuilding.org/WMO_Region_5_Southwest_Pacific/ASM_American_Samoa/ASM_ET_Tafuna-Pago.Pago.Intl.AP.917650_US.Normals.1981-2010.zip")</f>
        <v>https://climate.onebuilding.org/WMO_Region_5_Southwest_Pacific/ASM_American_Samoa/ASM_ET_Tafuna-Pago.Pago.Intl.AP.917650_US.Normals.1981-2010.zip</v>
      </c>
    </row>
    <row r="3" spans="1:10" x14ac:dyDescent="0.25">
      <c r="A3" t="s">
        <v>10</v>
      </c>
      <c r="B3" t="s">
        <v>11</v>
      </c>
      <c r="C3" t="s">
        <v>12</v>
      </c>
      <c r="D3" s="2">
        <v>917650</v>
      </c>
      <c r="E3" t="s">
        <v>13</v>
      </c>
      <c r="F3">
        <v>-14.3306</v>
      </c>
      <c r="G3">
        <v>-170.71360000000001</v>
      </c>
      <c r="H3">
        <v>-11</v>
      </c>
      <c r="I3">
        <v>3.7</v>
      </c>
      <c r="J3" t="str">
        <f>HYPERLINK("https://climate.onebuilding.org/WMO_Region_5_Southwest_Pacific/ASM_American_Samoa/ASM_ET_Tafuna-Pago.Pago.Intl.AP.917650_US.Normals.1991-2020.zip")</f>
        <v>https://climate.onebuilding.org/WMO_Region_5_Southwest_Pacific/ASM_American_Samoa/ASM_ET_Tafuna-Pago.Pago.Intl.AP.917650_US.Normals.1991-2020.zip</v>
      </c>
    </row>
    <row r="4" spans="1:10" x14ac:dyDescent="0.25">
      <c r="A4" t="s">
        <v>10</v>
      </c>
      <c r="B4" t="s">
        <v>11</v>
      </c>
      <c r="C4" t="s">
        <v>12</v>
      </c>
      <c r="D4" s="2">
        <v>917650</v>
      </c>
      <c r="E4" t="s">
        <v>13</v>
      </c>
      <c r="F4">
        <v>-14.3306</v>
      </c>
      <c r="G4">
        <v>-170.71360000000001</v>
      </c>
      <c r="H4">
        <v>-11</v>
      </c>
      <c r="I4">
        <v>3.7</v>
      </c>
      <c r="J4" t="str">
        <f>HYPERLINK("https://climate.onebuilding.org/WMO_Region_5_Southwest_Pacific/ASM_American_Samoa/ASM_ET_Tafuna-Pago.Pago.Intl.AP.917650_US.Normals.2006-2020.zip")</f>
        <v>https://climate.onebuilding.org/WMO_Region_5_Southwest_Pacific/ASM_American_Samoa/ASM_ET_Tafuna-Pago.Pago.Intl.AP.917650_US.Normals.2006-2020.zip</v>
      </c>
    </row>
    <row r="5" spans="1:10" x14ac:dyDescent="0.25">
      <c r="A5" t="s">
        <v>14</v>
      </c>
      <c r="B5" t="s">
        <v>15</v>
      </c>
      <c r="C5" t="s">
        <v>16</v>
      </c>
      <c r="D5" s="2">
        <v>913340</v>
      </c>
      <c r="E5" t="s">
        <v>13</v>
      </c>
      <c r="F5">
        <v>7.45</v>
      </c>
      <c r="G5">
        <v>151.83330000000001</v>
      </c>
      <c r="H5">
        <v>10</v>
      </c>
      <c r="I5">
        <v>1.5</v>
      </c>
      <c r="J5" t="str">
        <f>HYPERLINK("https://climate.onebuilding.org/WMO_Region_5_Southwest_Pacific/FSM_Micronesia/FSM_CH_Chuuk.Intl.AP.913340_US.Normals.1991-2020.zip")</f>
        <v>https://climate.onebuilding.org/WMO_Region_5_Southwest_Pacific/FSM_Micronesia/FSM_CH_Chuuk.Intl.AP.913340_US.Normals.1991-2020.zip</v>
      </c>
    </row>
    <row r="6" spans="1:10" x14ac:dyDescent="0.25">
      <c r="A6" t="s">
        <v>14</v>
      </c>
      <c r="B6" t="s">
        <v>17</v>
      </c>
      <c r="C6" t="s">
        <v>18</v>
      </c>
      <c r="D6" s="2">
        <v>913480</v>
      </c>
      <c r="E6" t="s">
        <v>13</v>
      </c>
      <c r="F6">
        <v>6.9667000000000003</v>
      </c>
      <c r="G6">
        <v>158.2167</v>
      </c>
      <c r="H6">
        <v>11</v>
      </c>
      <c r="I6">
        <v>36.6</v>
      </c>
      <c r="J6" t="str">
        <f>HYPERLINK("https://climate.onebuilding.org/WMO_Region_5_Southwest_Pacific/FSM_Micronesia/FSM_PO_Pohnpei.WSO-Caroline.Islands.913481_US.Normals.2006-2020.zip")</f>
        <v>https://climate.onebuilding.org/WMO_Region_5_Southwest_Pacific/FSM_Micronesia/FSM_PO_Pohnpei.WSO-Caroline.Islands.913481_US.Normals.2006-2020.zip</v>
      </c>
    </row>
    <row r="7" spans="1:10" x14ac:dyDescent="0.25">
      <c r="A7" t="s">
        <v>14</v>
      </c>
      <c r="B7" t="s">
        <v>19</v>
      </c>
      <c r="C7" t="s">
        <v>20</v>
      </c>
      <c r="D7" s="2">
        <v>914130</v>
      </c>
      <c r="E7" t="s">
        <v>13</v>
      </c>
      <c r="F7">
        <v>9.4832999999999998</v>
      </c>
      <c r="G7">
        <v>138.08330000000001</v>
      </c>
      <c r="H7">
        <v>9</v>
      </c>
      <c r="I7">
        <v>13.4</v>
      </c>
      <c r="J7" t="str">
        <f>HYPERLINK("https://climate.onebuilding.org/WMO_Region_5_Southwest_Pacific/FSM_Micronesia/FSM_YA_Yap.Intl.AP.914130_US.Normals.1991-2020.zip")</f>
        <v>https://climate.onebuilding.org/WMO_Region_5_Southwest_Pacific/FSM_Micronesia/FSM_YA_Yap.Intl.AP.914130_US.Normals.1991-2020.zip</v>
      </c>
    </row>
    <row r="8" spans="1:10" x14ac:dyDescent="0.25">
      <c r="A8" t="s">
        <v>14</v>
      </c>
      <c r="B8" t="s">
        <v>19</v>
      </c>
      <c r="C8" t="s">
        <v>20</v>
      </c>
      <c r="D8" s="2">
        <v>914130</v>
      </c>
      <c r="E8" t="s">
        <v>13</v>
      </c>
      <c r="F8">
        <v>9.4832999999999998</v>
      </c>
      <c r="G8">
        <v>138.08330000000001</v>
      </c>
      <c r="H8">
        <v>9</v>
      </c>
      <c r="I8">
        <v>13.4</v>
      </c>
      <c r="J8" t="str">
        <f>HYPERLINK("https://climate.onebuilding.org/WMO_Region_5_Southwest_Pacific/FSM_Micronesia/FSM_YA_Yap.Intl.AP.914130_US.Normals.2006-2020.zip")</f>
        <v>https://climate.onebuilding.org/WMO_Region_5_Southwest_Pacific/FSM_Micronesia/FSM_YA_Yap.Intl.AP.914130_US.Normals.2006-2020.zip</v>
      </c>
    </row>
    <row r="9" spans="1:10" x14ac:dyDescent="0.25">
      <c r="A9" t="s">
        <v>21</v>
      </c>
      <c r="B9" t="s">
        <v>22</v>
      </c>
      <c r="C9" t="s">
        <v>23</v>
      </c>
      <c r="D9" s="2">
        <v>912120</v>
      </c>
      <c r="E9" t="s">
        <v>13</v>
      </c>
      <c r="F9">
        <v>13.483599999999999</v>
      </c>
      <c r="G9">
        <v>144.7961</v>
      </c>
      <c r="H9">
        <v>10</v>
      </c>
      <c r="I9">
        <v>77.400000000000006</v>
      </c>
      <c r="J9" t="str">
        <f>HYPERLINK("https://climate.onebuilding.org/WMO_Region_5_Southwest_Pacific/GUM_Guam/GUM_TM_Tamuning-Won.Pat.Intl.AP.912120_US.Normals.1981-2010.zip")</f>
        <v>https://climate.onebuilding.org/WMO_Region_5_Southwest_Pacific/GUM_Guam/GUM_TM_Tamuning-Won.Pat.Intl.AP.912120_US.Normals.1981-2010.zip</v>
      </c>
    </row>
    <row r="10" spans="1:10" x14ac:dyDescent="0.25">
      <c r="A10" t="s">
        <v>21</v>
      </c>
      <c r="B10" t="s">
        <v>22</v>
      </c>
      <c r="C10" t="s">
        <v>23</v>
      </c>
      <c r="D10" s="2">
        <v>912120</v>
      </c>
      <c r="E10" t="s">
        <v>13</v>
      </c>
      <c r="F10">
        <v>13.483599999999999</v>
      </c>
      <c r="G10">
        <v>144.7961</v>
      </c>
      <c r="H10">
        <v>10</v>
      </c>
      <c r="I10">
        <v>77.400000000000006</v>
      </c>
      <c r="J10" t="str">
        <f>HYPERLINK("https://climate.onebuilding.org/WMO_Region_5_Southwest_Pacific/GUM_Guam/GUM_TM_Tamuning-Won.Pat.Intl.AP.912120_US.Normals.1991-2020.zip")</f>
        <v>https://climate.onebuilding.org/WMO_Region_5_Southwest_Pacific/GUM_Guam/GUM_TM_Tamuning-Won.Pat.Intl.AP.912120_US.Normals.1991-2020.zip</v>
      </c>
    </row>
    <row r="11" spans="1:10" x14ac:dyDescent="0.25">
      <c r="A11" t="s">
        <v>21</v>
      </c>
      <c r="B11" t="s">
        <v>22</v>
      </c>
      <c r="C11" t="s">
        <v>23</v>
      </c>
      <c r="D11" s="2">
        <v>912120</v>
      </c>
      <c r="E11" t="s">
        <v>13</v>
      </c>
      <c r="F11">
        <v>13.483599999999999</v>
      </c>
      <c r="G11">
        <v>144.7961</v>
      </c>
      <c r="H11">
        <v>10</v>
      </c>
      <c r="I11">
        <v>77.400000000000006</v>
      </c>
      <c r="J11" t="str">
        <f>HYPERLINK("https://climate.onebuilding.org/WMO_Region_5_Southwest_Pacific/GUM_Guam/GUM_TM_Tamuning-Won.Pat.Intl.AP.912120_US.Normals.2006-2020.zip")</f>
        <v>https://climate.onebuilding.org/WMO_Region_5_Southwest_Pacific/GUM_Guam/GUM_TM_Tamuning-Won.Pat.Intl.AP.912120_US.Normals.2006-2020.zip</v>
      </c>
    </row>
    <row r="12" spans="1:10" x14ac:dyDescent="0.25">
      <c r="A12" t="s">
        <v>21</v>
      </c>
      <c r="B12" t="s">
        <v>24</v>
      </c>
      <c r="C12" t="s">
        <v>25</v>
      </c>
      <c r="D12" s="2">
        <v>912180</v>
      </c>
      <c r="E12" t="s">
        <v>13</v>
      </c>
      <c r="F12">
        <v>13.583299999999999</v>
      </c>
      <c r="G12">
        <v>144.91669999999999</v>
      </c>
      <c r="H12">
        <v>10</v>
      </c>
      <c r="I12">
        <v>191.1</v>
      </c>
      <c r="J12" t="str">
        <f>HYPERLINK("https://climate.onebuilding.org/WMO_Region_5_Southwest_Pacific/GUM_Guam/GUM_YG_Andersen.AFB.912180_US.Normals.1981-2010.zip")</f>
        <v>https://climate.onebuilding.org/WMO_Region_5_Southwest_Pacific/GUM_Guam/GUM_YG_Andersen.AFB.912180_US.Normals.1981-2010.zip</v>
      </c>
    </row>
    <row r="13" spans="1:10" x14ac:dyDescent="0.25">
      <c r="A13" t="s">
        <v>21</v>
      </c>
      <c r="B13" t="s">
        <v>24</v>
      </c>
      <c r="C13" t="s">
        <v>25</v>
      </c>
      <c r="D13" s="2">
        <v>912180</v>
      </c>
      <c r="E13" t="s">
        <v>13</v>
      </c>
      <c r="F13">
        <v>13.583299999999999</v>
      </c>
      <c r="G13">
        <v>144.91669999999999</v>
      </c>
      <c r="H13">
        <v>10</v>
      </c>
      <c r="I13">
        <v>191.1</v>
      </c>
      <c r="J13" t="str">
        <f>HYPERLINK("https://climate.onebuilding.org/WMO_Region_5_Southwest_Pacific/GUM_Guam/GUM_YG_Andersen.AFB.912180_US.Normals.1991-2020.zip")</f>
        <v>https://climate.onebuilding.org/WMO_Region_5_Southwest_Pacific/GUM_Guam/GUM_YG_Andersen.AFB.912180_US.Normals.1991-2020.zip</v>
      </c>
    </row>
    <row r="14" spans="1:10" x14ac:dyDescent="0.25">
      <c r="A14" t="s">
        <v>21</v>
      </c>
      <c r="B14" t="s">
        <v>24</v>
      </c>
      <c r="C14" t="s">
        <v>25</v>
      </c>
      <c r="D14" s="2">
        <v>912180</v>
      </c>
      <c r="E14" t="s">
        <v>13</v>
      </c>
      <c r="F14">
        <v>13.583299999999999</v>
      </c>
      <c r="G14">
        <v>144.91669999999999</v>
      </c>
      <c r="H14">
        <v>10</v>
      </c>
      <c r="I14">
        <v>191.1</v>
      </c>
      <c r="J14" t="str">
        <f>HYPERLINK("https://climate.onebuilding.org/WMO_Region_5_Southwest_Pacific/GUM_Guam/GUM_YG_Andersen.AFB.912180_US.Normals.2006-2020.zip")</f>
        <v>https://climate.onebuilding.org/WMO_Region_5_Southwest_Pacific/GUM_Guam/GUM_YG_Andersen.AFB.912180_US.Normals.2006-2020.zip</v>
      </c>
    </row>
    <row r="15" spans="1:10" x14ac:dyDescent="0.25">
      <c r="A15" t="s">
        <v>26</v>
      </c>
      <c r="B15" t="s">
        <v>27</v>
      </c>
      <c r="C15" t="s">
        <v>28</v>
      </c>
      <c r="D15" s="2">
        <v>913660</v>
      </c>
      <c r="E15" t="s">
        <v>13</v>
      </c>
      <c r="F15">
        <v>8.7332999999999998</v>
      </c>
      <c r="G15">
        <v>167.73330000000001</v>
      </c>
      <c r="H15">
        <v>11</v>
      </c>
      <c r="I15">
        <v>2.1</v>
      </c>
      <c r="J15" t="str">
        <f>HYPERLINK("https://climate.onebuilding.org/WMO_Region_5_Southwest_Pacific/MHL_Marshall_Islands/MHL_MH_Kwajalein-Bucholz.AAF.913660_US.Normals.1981-2010.zip")</f>
        <v>https://climate.onebuilding.org/WMO_Region_5_Southwest_Pacific/MHL_Marshall_Islands/MHL_MH_Kwajalein-Bucholz.AAF.913660_US.Normals.1981-2010.zip</v>
      </c>
    </row>
    <row r="16" spans="1:10" x14ac:dyDescent="0.25">
      <c r="A16" t="s">
        <v>26</v>
      </c>
      <c r="B16" t="s">
        <v>27</v>
      </c>
      <c r="C16" t="s">
        <v>28</v>
      </c>
      <c r="D16" s="2">
        <v>913660</v>
      </c>
      <c r="E16" t="s">
        <v>13</v>
      </c>
      <c r="F16">
        <v>8.7332999999999998</v>
      </c>
      <c r="G16">
        <v>167.73330000000001</v>
      </c>
      <c r="H16">
        <v>11</v>
      </c>
      <c r="I16">
        <v>2.1</v>
      </c>
      <c r="J16" t="str">
        <f>HYPERLINK("https://climate.onebuilding.org/WMO_Region_5_Southwest_Pacific/MHL_Marshall_Islands/MHL_MH_Kwajalein-Bucholz.AAF.913660_US.Normals.1991-2020.zip")</f>
        <v>https://climate.onebuilding.org/WMO_Region_5_Southwest_Pacific/MHL_Marshall_Islands/MHL_MH_Kwajalein-Bucholz.AAF.913660_US.Normals.1991-2020.zip</v>
      </c>
    </row>
    <row r="17" spans="1:10" x14ac:dyDescent="0.25">
      <c r="A17" t="s">
        <v>26</v>
      </c>
      <c r="B17" t="s">
        <v>27</v>
      </c>
      <c r="C17" t="s">
        <v>28</v>
      </c>
      <c r="D17" s="2">
        <v>913660</v>
      </c>
      <c r="E17" t="s">
        <v>13</v>
      </c>
      <c r="F17">
        <v>8.7332999999999998</v>
      </c>
      <c r="G17">
        <v>167.73330000000001</v>
      </c>
      <c r="H17">
        <v>11</v>
      </c>
      <c r="I17">
        <v>2.1</v>
      </c>
      <c r="J17" t="str">
        <f>HYPERLINK("https://climate.onebuilding.org/WMO_Region_5_Southwest_Pacific/MHL_Marshall_Islands/MHL_MH_Kwajalein-Bucholz.AAF.913660_US.Normals.2006-2020.zip")</f>
        <v>https://climate.onebuilding.org/WMO_Region_5_Southwest_Pacific/MHL_Marshall_Islands/MHL_MH_Kwajalein-Bucholz.AAF.913660_US.Normals.2006-2020.zip</v>
      </c>
    </row>
    <row r="18" spans="1:10" x14ac:dyDescent="0.25">
      <c r="A18" t="s">
        <v>29</v>
      </c>
      <c r="B18" t="s">
        <v>30</v>
      </c>
      <c r="C18" t="s">
        <v>31</v>
      </c>
      <c r="D18" s="2">
        <v>912320</v>
      </c>
      <c r="E18" t="s">
        <v>13</v>
      </c>
      <c r="F18">
        <v>15.1167</v>
      </c>
      <c r="G18">
        <v>145.7167</v>
      </c>
      <c r="H18">
        <v>10</v>
      </c>
      <c r="I18">
        <v>65.5</v>
      </c>
      <c r="J18" t="str">
        <f>HYPERLINK("https://climate.onebuilding.org/WMO_Region_5_Southwest_Pacific/MNP_Northern_Mariana_Islands/MNP_SA_Saipan.Intl.AP.912320_US.Normals.2006-2020.zip")</f>
        <v>https://climate.onebuilding.org/WMO_Region_5_Southwest_Pacific/MNP_Northern_Mariana_Islands/MNP_SA_Saipan.Intl.AP.912320_US.Normals.2006-2020.zip</v>
      </c>
    </row>
    <row r="19" spans="1:10" x14ac:dyDescent="0.25">
      <c r="A19" t="s">
        <v>32</v>
      </c>
      <c r="B19" t="s">
        <v>33</v>
      </c>
      <c r="C19" t="s">
        <v>34</v>
      </c>
      <c r="D19" s="2">
        <v>914080</v>
      </c>
      <c r="E19" t="s">
        <v>13</v>
      </c>
      <c r="F19">
        <v>7.3333000000000004</v>
      </c>
      <c r="G19">
        <v>134.48330000000001</v>
      </c>
      <c r="H19">
        <v>9</v>
      </c>
      <c r="I19">
        <v>28.7</v>
      </c>
      <c r="J19" t="str">
        <f>HYPERLINK("https://climate.onebuilding.org/WMO_Region_5_Southwest_Pacific/PLW_Palau/PLW_KO_Babelthuap.Koror.AP.914080_US.Normals.2006-2020.zip")</f>
        <v>https://climate.onebuilding.org/WMO_Region_5_Southwest_Pacific/PLW_Palau/PLW_KO_Babelthuap.Koror.AP.914080_US.Normals.2006-2020.zip</v>
      </c>
    </row>
    <row r="20" spans="1:10" x14ac:dyDescent="0.25">
      <c r="A20" t="s">
        <v>35</v>
      </c>
      <c r="B20" t="s">
        <v>36</v>
      </c>
      <c r="C20" t="s">
        <v>37</v>
      </c>
      <c r="D20" s="2">
        <v>702720</v>
      </c>
      <c r="E20" t="s">
        <v>13</v>
      </c>
      <c r="F20">
        <v>61.25</v>
      </c>
      <c r="G20">
        <v>-149.80000000000001</v>
      </c>
      <c r="H20">
        <v>-10</v>
      </c>
      <c r="I20">
        <v>58.5</v>
      </c>
      <c r="J20" t="str">
        <f>HYPERLINK("https://climate.onebuilding.org/WMO_Region_4_North_and_Central_America/USA_United_States_of_America/AK_Alaska/USA_AK_Anchorage-JB.Elmendorf-Richardson.702720_US.Normals.1981-2010.zip")</f>
        <v>https://climate.onebuilding.org/WMO_Region_4_North_and_Central_America/USA_United_States_of_America/AK_Alaska/USA_AK_Anchorage-JB.Elmendorf-Richardson.702720_US.Normals.1981-2010.zip</v>
      </c>
    </row>
    <row r="21" spans="1:10" x14ac:dyDescent="0.25">
      <c r="A21" t="s">
        <v>35</v>
      </c>
      <c r="B21" t="s">
        <v>36</v>
      </c>
      <c r="C21" t="s">
        <v>37</v>
      </c>
      <c r="D21" s="2">
        <v>702720</v>
      </c>
      <c r="E21" t="s">
        <v>13</v>
      </c>
      <c r="F21">
        <v>61.25</v>
      </c>
      <c r="G21">
        <v>-149.80000000000001</v>
      </c>
      <c r="H21">
        <v>-10</v>
      </c>
      <c r="I21">
        <v>58.5</v>
      </c>
      <c r="J21" t="str">
        <f>HYPERLINK("https://climate.onebuilding.org/WMO_Region_4_North_and_Central_America/USA_United_States_of_America/AK_Alaska/USA_AK_Anchorage-JB.Elmendorf-Richardson.702720_US.Normals.1991-2020.zip")</f>
        <v>https://climate.onebuilding.org/WMO_Region_4_North_and_Central_America/USA_United_States_of_America/AK_Alaska/USA_AK_Anchorage-JB.Elmendorf-Richardson.702720_US.Normals.1991-2020.zip</v>
      </c>
    </row>
    <row r="22" spans="1:10" x14ac:dyDescent="0.25">
      <c r="A22" t="s">
        <v>35</v>
      </c>
      <c r="B22" t="s">
        <v>36</v>
      </c>
      <c r="C22" t="s">
        <v>37</v>
      </c>
      <c r="D22" s="2">
        <v>702720</v>
      </c>
      <c r="E22" t="s">
        <v>13</v>
      </c>
      <c r="F22">
        <v>61.25</v>
      </c>
      <c r="G22">
        <v>-149.80000000000001</v>
      </c>
      <c r="H22">
        <v>-10</v>
      </c>
      <c r="I22">
        <v>58.5</v>
      </c>
      <c r="J22" t="str">
        <f>HYPERLINK("https://climate.onebuilding.org/WMO_Region_4_North_and_Central_America/USA_United_States_of_America/AK_Alaska/USA_AK_Anchorage-JB.Elmendorf-Richardson.702720_US.Normals.2006-2020.zip")</f>
        <v>https://climate.onebuilding.org/WMO_Region_4_North_and_Central_America/USA_United_States_of_America/AK_Alaska/USA_AK_Anchorage-JB.Elmendorf-Richardson.702720_US.Normals.2006-2020.zip</v>
      </c>
    </row>
    <row r="23" spans="1:10" x14ac:dyDescent="0.25">
      <c r="A23" t="s">
        <v>35</v>
      </c>
      <c r="B23" t="s">
        <v>36</v>
      </c>
      <c r="C23" t="s">
        <v>38</v>
      </c>
      <c r="D23" s="2">
        <v>702725</v>
      </c>
      <c r="E23" t="s">
        <v>13</v>
      </c>
      <c r="F23">
        <v>61.178100000000001</v>
      </c>
      <c r="G23">
        <v>-149.96639999999999</v>
      </c>
      <c r="H23">
        <v>-10</v>
      </c>
      <c r="I23">
        <v>27.4</v>
      </c>
      <c r="J23" t="str">
        <f>HYPERLINK("https://climate.onebuilding.org/WMO_Region_4_North_and_Central_America/USA_United_States_of_America/AK_Alaska/USA_AK_Anchorage-Lake.Hood.Seaplane.Base.702725_US.Normals.1991-2020.zip")</f>
        <v>https://climate.onebuilding.org/WMO_Region_4_North_and_Central_America/USA_United_States_of_America/AK_Alaska/USA_AK_Anchorage-Lake.Hood.Seaplane.Base.702725_US.Normals.1991-2020.zip</v>
      </c>
    </row>
    <row r="24" spans="1:10" x14ac:dyDescent="0.25">
      <c r="A24" t="s">
        <v>35</v>
      </c>
      <c r="B24" t="s">
        <v>36</v>
      </c>
      <c r="C24" t="s">
        <v>38</v>
      </c>
      <c r="D24" s="2">
        <v>702725</v>
      </c>
      <c r="E24" t="s">
        <v>13</v>
      </c>
      <c r="F24">
        <v>61.178100000000001</v>
      </c>
      <c r="G24">
        <v>-149.96639999999999</v>
      </c>
      <c r="H24">
        <v>-10</v>
      </c>
      <c r="I24">
        <v>27.4</v>
      </c>
      <c r="J24" t="str">
        <f>HYPERLINK("https://climate.onebuilding.org/WMO_Region_4_North_and_Central_America/USA_United_States_of_America/AK_Alaska/USA_AK_Anchorage-Lake.Hood.Seaplane.Base.702725_US.Normals.2006-2020.zip")</f>
        <v>https://climate.onebuilding.org/WMO_Region_4_North_and_Central_America/USA_United_States_of_America/AK_Alaska/USA_AK_Anchorage-Lake.Hood.Seaplane.Base.702725_US.Normals.2006-2020.zip</v>
      </c>
    </row>
    <row r="25" spans="1:10" x14ac:dyDescent="0.25">
      <c r="A25" t="s">
        <v>35</v>
      </c>
      <c r="B25" t="s">
        <v>36</v>
      </c>
      <c r="C25" t="s">
        <v>39</v>
      </c>
      <c r="D25" s="2">
        <v>702735</v>
      </c>
      <c r="E25" t="s">
        <v>13</v>
      </c>
      <c r="F25">
        <v>61.216900000000003</v>
      </c>
      <c r="G25">
        <v>-149.85499999999999</v>
      </c>
      <c r="H25">
        <v>-10</v>
      </c>
      <c r="I25">
        <v>42.1</v>
      </c>
      <c r="J25" t="str">
        <f>HYPERLINK("https://climate.onebuilding.org/WMO_Region_4_North_and_Central_America/USA_United_States_of_America/AK_Alaska/USA_AK_Anchorage-Merrill.Field.AP.702735_US.Normals.1981-2010.zip")</f>
        <v>https://climate.onebuilding.org/WMO_Region_4_North_and_Central_America/USA_United_States_of_America/AK_Alaska/USA_AK_Anchorage-Merrill.Field.AP.702735_US.Normals.1981-2010.zip</v>
      </c>
    </row>
    <row r="26" spans="1:10" x14ac:dyDescent="0.25">
      <c r="A26" t="s">
        <v>35</v>
      </c>
      <c r="B26" t="s">
        <v>36</v>
      </c>
      <c r="C26" t="s">
        <v>39</v>
      </c>
      <c r="D26" s="2">
        <v>702735</v>
      </c>
      <c r="E26" t="s">
        <v>13</v>
      </c>
      <c r="F26">
        <v>61.216900000000003</v>
      </c>
      <c r="G26">
        <v>-149.85499999999999</v>
      </c>
      <c r="H26">
        <v>-10</v>
      </c>
      <c r="I26">
        <v>42.1</v>
      </c>
      <c r="J26" t="str">
        <f>HYPERLINK("https://climate.onebuilding.org/WMO_Region_4_North_and_Central_America/USA_United_States_of_America/AK_Alaska/USA_AK_Anchorage-Merrill.Field.AP.702735_US.Normals.1991-2020.zip")</f>
        <v>https://climate.onebuilding.org/WMO_Region_4_North_and_Central_America/USA_United_States_of_America/AK_Alaska/USA_AK_Anchorage-Merrill.Field.AP.702735_US.Normals.1991-2020.zip</v>
      </c>
    </row>
    <row r="27" spans="1:10" x14ac:dyDescent="0.25">
      <c r="A27" t="s">
        <v>35</v>
      </c>
      <c r="B27" t="s">
        <v>36</v>
      </c>
      <c r="C27" t="s">
        <v>39</v>
      </c>
      <c r="D27" s="2">
        <v>702735</v>
      </c>
      <c r="E27" t="s">
        <v>13</v>
      </c>
      <c r="F27">
        <v>61.216900000000003</v>
      </c>
      <c r="G27">
        <v>-149.85499999999999</v>
      </c>
      <c r="H27">
        <v>-10</v>
      </c>
      <c r="I27">
        <v>42.1</v>
      </c>
      <c r="J27" t="str">
        <f>HYPERLINK("https://climate.onebuilding.org/WMO_Region_4_North_and_Central_America/USA_United_States_of_America/AK_Alaska/USA_AK_Anchorage-Merrill.Field.AP.702735_US.Normals.2006-2020.zip")</f>
        <v>https://climate.onebuilding.org/WMO_Region_4_North_and_Central_America/USA_United_States_of_America/AK_Alaska/USA_AK_Anchorage-Merrill.Field.AP.702735_US.Normals.2006-2020.zip</v>
      </c>
    </row>
    <row r="28" spans="1:10" x14ac:dyDescent="0.25">
      <c r="A28" t="s">
        <v>35</v>
      </c>
      <c r="B28" t="s">
        <v>36</v>
      </c>
      <c r="C28" t="s">
        <v>40</v>
      </c>
      <c r="D28" s="2">
        <v>702730</v>
      </c>
      <c r="E28" t="s">
        <v>13</v>
      </c>
      <c r="F28">
        <v>61.168900000000001</v>
      </c>
      <c r="G28">
        <v>-150.02780000000001</v>
      </c>
      <c r="H28">
        <v>-10</v>
      </c>
      <c r="I28">
        <v>36.6</v>
      </c>
      <c r="J28" t="str">
        <f>HYPERLINK("https://climate.onebuilding.org/WMO_Region_4_North_and_Central_America/USA_United_States_of_America/AK_Alaska/USA_AK_Anchorage.Stevens.Intl.AP.702730_US.Normals.1981-2010.zip")</f>
        <v>https://climate.onebuilding.org/WMO_Region_4_North_and_Central_America/USA_United_States_of_America/AK_Alaska/USA_AK_Anchorage.Stevens.Intl.AP.702730_US.Normals.1981-2010.zip</v>
      </c>
    </row>
    <row r="29" spans="1:10" x14ac:dyDescent="0.25">
      <c r="A29" t="s">
        <v>35</v>
      </c>
      <c r="B29" t="s">
        <v>36</v>
      </c>
      <c r="C29" t="s">
        <v>40</v>
      </c>
      <c r="D29" s="2">
        <v>702730</v>
      </c>
      <c r="E29" t="s">
        <v>13</v>
      </c>
      <c r="F29">
        <v>61.168900000000001</v>
      </c>
      <c r="G29">
        <v>-150.02780000000001</v>
      </c>
      <c r="H29">
        <v>-10</v>
      </c>
      <c r="I29">
        <v>36.6</v>
      </c>
      <c r="J29" t="str">
        <f>HYPERLINK("https://climate.onebuilding.org/WMO_Region_4_North_and_Central_America/USA_United_States_of_America/AK_Alaska/USA_AK_Anchorage.Stevens.Intl.AP.702730_US.Normals.1991-2020.zip")</f>
        <v>https://climate.onebuilding.org/WMO_Region_4_North_and_Central_America/USA_United_States_of_America/AK_Alaska/USA_AK_Anchorage.Stevens.Intl.AP.702730_US.Normals.1991-2020.zip</v>
      </c>
    </row>
    <row r="30" spans="1:10" x14ac:dyDescent="0.25">
      <c r="A30" t="s">
        <v>35</v>
      </c>
      <c r="B30" t="s">
        <v>36</v>
      </c>
      <c r="C30" t="s">
        <v>40</v>
      </c>
      <c r="D30" s="2">
        <v>702730</v>
      </c>
      <c r="E30" t="s">
        <v>13</v>
      </c>
      <c r="F30">
        <v>61.168900000000001</v>
      </c>
      <c r="G30">
        <v>-150.02780000000001</v>
      </c>
      <c r="H30">
        <v>-10</v>
      </c>
      <c r="I30">
        <v>36.6</v>
      </c>
      <c r="J30" t="str">
        <f>HYPERLINK("https://climate.onebuilding.org/WMO_Region_4_North_and_Central_America/USA_United_States_of_America/AK_Alaska/USA_AK_Anchorage.Stevens.Intl.AP.702730_US.Normals.2006-2020.zip")</f>
        <v>https://climate.onebuilding.org/WMO_Region_4_North_and_Central_America/USA_United_States_of_America/AK_Alaska/USA_AK_Anchorage.Stevens.Intl.AP.702730_US.Normals.2006-2020.zip</v>
      </c>
    </row>
    <row r="31" spans="1:10" x14ac:dyDescent="0.25">
      <c r="A31" t="s">
        <v>35</v>
      </c>
      <c r="B31" t="s">
        <v>36</v>
      </c>
      <c r="C31" t="s">
        <v>41</v>
      </c>
      <c r="D31" s="2">
        <v>702320</v>
      </c>
      <c r="E31" t="s">
        <v>13</v>
      </c>
      <c r="F31">
        <v>61.583300000000001</v>
      </c>
      <c r="G31">
        <v>-159.5333</v>
      </c>
      <c r="H31">
        <v>-11</v>
      </c>
      <c r="I31">
        <v>26.2</v>
      </c>
      <c r="J31" t="str">
        <f>HYPERLINK("https://climate.onebuilding.org/WMO_Region_4_North_and_Central_America/USA_United_States_of_America/AK_Alaska/USA_AK_Aniak.AP.702320_US.Normals.2006-2020.zip")</f>
        <v>https://climate.onebuilding.org/WMO_Region_4_North_and_Central_America/USA_United_States_of_America/AK_Alaska/USA_AK_Aniak.AP.702320_US.Normals.2006-2020.zip</v>
      </c>
    </row>
    <row r="32" spans="1:10" x14ac:dyDescent="0.25">
      <c r="A32" t="s">
        <v>35</v>
      </c>
      <c r="B32" t="s">
        <v>36</v>
      </c>
      <c r="C32" t="s">
        <v>42</v>
      </c>
      <c r="D32" s="2">
        <v>703980</v>
      </c>
      <c r="E32" t="s">
        <v>13</v>
      </c>
      <c r="F32">
        <v>55.038899999999998</v>
      </c>
      <c r="G32">
        <v>-131.57859999999999</v>
      </c>
      <c r="H32">
        <v>-9</v>
      </c>
      <c r="I32">
        <v>33.200000000000003</v>
      </c>
      <c r="J32" t="str">
        <f>HYPERLINK("https://climate.onebuilding.org/WMO_Region_4_North_and_Central_America/USA_United_States_of_America/AK_Alaska/USA_AK_Annette.Island.AP.703980_US.Normals.2006-2020.zip")</f>
        <v>https://climate.onebuilding.org/WMO_Region_4_North_and_Central_America/USA_United_States_of_America/AK_Alaska/USA_AK_Annette.Island.AP.703980_US.Normals.2006-2020.zip</v>
      </c>
    </row>
    <row r="33" spans="1:10" x14ac:dyDescent="0.25">
      <c r="A33" t="s">
        <v>35</v>
      </c>
      <c r="B33" t="s">
        <v>36</v>
      </c>
      <c r="C33" t="s">
        <v>43</v>
      </c>
      <c r="D33" s="2">
        <v>700260</v>
      </c>
      <c r="E33" t="s">
        <v>13</v>
      </c>
      <c r="F33">
        <v>71.283299999999997</v>
      </c>
      <c r="G33">
        <v>-156.78139999999999</v>
      </c>
      <c r="H33">
        <v>-10</v>
      </c>
      <c r="I33">
        <v>9.4</v>
      </c>
      <c r="J33" t="str">
        <f>HYPERLINK("https://climate.onebuilding.org/WMO_Region_4_North_and_Central_America/USA_United_States_of_America/AK_Alaska/USA_AK_Barrow-Post-Rogers.Meml.AP.700260_US.Normals.1981-2010.zip")</f>
        <v>https://climate.onebuilding.org/WMO_Region_4_North_and_Central_America/USA_United_States_of_America/AK_Alaska/USA_AK_Barrow-Post-Rogers.Meml.AP.700260_US.Normals.1981-2010.zip</v>
      </c>
    </row>
    <row r="34" spans="1:10" x14ac:dyDescent="0.25">
      <c r="A34" t="s">
        <v>35</v>
      </c>
      <c r="B34" t="s">
        <v>36</v>
      </c>
      <c r="C34" t="s">
        <v>43</v>
      </c>
      <c r="D34" s="2">
        <v>700260</v>
      </c>
      <c r="E34" t="s">
        <v>13</v>
      </c>
      <c r="F34">
        <v>71.283299999999997</v>
      </c>
      <c r="G34">
        <v>-156.78139999999999</v>
      </c>
      <c r="H34">
        <v>-10</v>
      </c>
      <c r="I34">
        <v>9.4</v>
      </c>
      <c r="J34" t="str">
        <f>HYPERLINK("https://climate.onebuilding.org/WMO_Region_4_North_and_Central_America/USA_United_States_of_America/AK_Alaska/USA_AK_Barrow-Post-Rogers.Meml.AP.700260_US.Normals.1991-2020.zip")</f>
        <v>https://climate.onebuilding.org/WMO_Region_4_North_and_Central_America/USA_United_States_of_America/AK_Alaska/USA_AK_Barrow-Post-Rogers.Meml.AP.700260_US.Normals.1991-2020.zip</v>
      </c>
    </row>
    <row r="35" spans="1:10" x14ac:dyDescent="0.25">
      <c r="A35" t="s">
        <v>35</v>
      </c>
      <c r="B35" t="s">
        <v>36</v>
      </c>
      <c r="C35" t="s">
        <v>43</v>
      </c>
      <c r="D35" s="2">
        <v>700260</v>
      </c>
      <c r="E35" t="s">
        <v>13</v>
      </c>
      <c r="F35">
        <v>71.283299999999997</v>
      </c>
      <c r="G35">
        <v>-156.78139999999999</v>
      </c>
      <c r="H35">
        <v>-10</v>
      </c>
      <c r="I35">
        <v>9.4</v>
      </c>
      <c r="J35" t="str">
        <f>HYPERLINK("https://climate.onebuilding.org/WMO_Region_4_North_and_Central_America/USA_United_States_of_America/AK_Alaska/USA_AK_Barrow-Post-Rogers.Meml.AP.700260_US.Normals.2006-2020.zip")</f>
        <v>https://climate.onebuilding.org/WMO_Region_4_North_and_Central_America/USA_United_States_of_America/AK_Alaska/USA_AK_Barrow-Post-Rogers.Meml.AP.700260_US.Normals.2006-2020.zip</v>
      </c>
    </row>
    <row r="36" spans="1:10" x14ac:dyDescent="0.25">
      <c r="A36" t="s">
        <v>35</v>
      </c>
      <c r="B36" t="s">
        <v>36</v>
      </c>
      <c r="C36" t="s">
        <v>44</v>
      </c>
      <c r="D36" s="2">
        <v>702190</v>
      </c>
      <c r="E36" t="s">
        <v>13</v>
      </c>
      <c r="F36">
        <v>60.784999999999997</v>
      </c>
      <c r="G36">
        <v>-161.82919999999999</v>
      </c>
      <c r="H36">
        <v>-11</v>
      </c>
      <c r="I36">
        <v>31.1</v>
      </c>
      <c r="J36" t="str">
        <f>HYPERLINK("https://climate.onebuilding.org/WMO_Region_4_North_and_Central_America/USA_United_States_of_America/AK_Alaska/USA_AK_Bethel.AP.702190_US.Normals.1981-2010.zip")</f>
        <v>https://climate.onebuilding.org/WMO_Region_4_North_and_Central_America/USA_United_States_of_America/AK_Alaska/USA_AK_Bethel.AP.702190_US.Normals.1981-2010.zip</v>
      </c>
    </row>
    <row r="37" spans="1:10" x14ac:dyDescent="0.25">
      <c r="A37" t="s">
        <v>35</v>
      </c>
      <c r="B37" t="s">
        <v>36</v>
      </c>
      <c r="C37" t="s">
        <v>44</v>
      </c>
      <c r="D37" s="2">
        <v>702190</v>
      </c>
      <c r="E37" t="s">
        <v>13</v>
      </c>
      <c r="F37">
        <v>60.784999999999997</v>
      </c>
      <c r="G37">
        <v>-161.82919999999999</v>
      </c>
      <c r="H37">
        <v>-11</v>
      </c>
      <c r="I37">
        <v>31.1</v>
      </c>
      <c r="J37" t="str">
        <f>HYPERLINK("https://climate.onebuilding.org/WMO_Region_4_North_and_Central_America/USA_United_States_of_America/AK_Alaska/USA_AK_Bethel.AP.702190_US.Normals.1991-2020.zip")</f>
        <v>https://climate.onebuilding.org/WMO_Region_4_North_and_Central_America/USA_United_States_of_America/AK_Alaska/USA_AK_Bethel.AP.702190_US.Normals.1991-2020.zip</v>
      </c>
    </row>
    <row r="38" spans="1:10" x14ac:dyDescent="0.25">
      <c r="A38" t="s">
        <v>35</v>
      </c>
      <c r="B38" t="s">
        <v>36</v>
      </c>
      <c r="C38" t="s">
        <v>44</v>
      </c>
      <c r="D38" s="2">
        <v>702190</v>
      </c>
      <c r="E38" t="s">
        <v>13</v>
      </c>
      <c r="F38">
        <v>60.784999999999997</v>
      </c>
      <c r="G38">
        <v>-161.82919999999999</v>
      </c>
      <c r="H38">
        <v>-11</v>
      </c>
      <c r="I38">
        <v>31.1</v>
      </c>
      <c r="J38" t="str">
        <f>HYPERLINK("https://climate.onebuilding.org/WMO_Region_4_North_and_Central_America/USA_United_States_of_America/AK_Alaska/USA_AK_Bethel.AP.702190_US.Normals.2006-2020.zip")</f>
        <v>https://climate.onebuilding.org/WMO_Region_4_North_and_Central_America/USA_United_States_of_America/AK_Alaska/USA_AK_Bethel.AP.702190_US.Normals.2006-2020.zip</v>
      </c>
    </row>
    <row r="39" spans="1:10" x14ac:dyDescent="0.25">
      <c r="A39" t="s">
        <v>35</v>
      </c>
      <c r="B39" t="s">
        <v>36</v>
      </c>
      <c r="C39" t="s">
        <v>45</v>
      </c>
      <c r="D39" s="2">
        <v>701740</v>
      </c>
      <c r="E39" t="s">
        <v>13</v>
      </c>
      <c r="F39">
        <v>66.9161</v>
      </c>
      <c r="G39">
        <v>-151.50890000000001</v>
      </c>
      <c r="H39">
        <v>-10</v>
      </c>
      <c r="I39">
        <v>195.7</v>
      </c>
      <c r="J39" t="str">
        <f>HYPERLINK("https://climate.onebuilding.org/WMO_Region_4_North_and_Central_America/USA_United_States_of_America/AK_Alaska/USA_AK_Bettles.AP.701740_US.Normals.1981-2010.zip")</f>
        <v>https://climate.onebuilding.org/WMO_Region_4_North_and_Central_America/USA_United_States_of_America/AK_Alaska/USA_AK_Bettles.AP.701740_US.Normals.1981-2010.zip</v>
      </c>
    </row>
    <row r="40" spans="1:10" x14ac:dyDescent="0.25">
      <c r="A40" t="s">
        <v>35</v>
      </c>
      <c r="B40" t="s">
        <v>36</v>
      </c>
      <c r="C40" t="s">
        <v>45</v>
      </c>
      <c r="D40" s="2">
        <v>701740</v>
      </c>
      <c r="E40" t="s">
        <v>13</v>
      </c>
      <c r="F40">
        <v>66.9161</v>
      </c>
      <c r="G40">
        <v>-151.50890000000001</v>
      </c>
      <c r="H40">
        <v>-10</v>
      </c>
      <c r="I40">
        <v>195.7</v>
      </c>
      <c r="J40" t="str">
        <f>HYPERLINK("https://climate.onebuilding.org/WMO_Region_4_North_and_Central_America/USA_United_States_of_America/AK_Alaska/USA_AK_Bettles.AP.701740_US.Normals.1991-2020.zip")</f>
        <v>https://climate.onebuilding.org/WMO_Region_4_North_and_Central_America/USA_United_States_of_America/AK_Alaska/USA_AK_Bettles.AP.701740_US.Normals.1991-2020.zip</v>
      </c>
    </row>
    <row r="41" spans="1:10" x14ac:dyDescent="0.25">
      <c r="A41" t="s">
        <v>35</v>
      </c>
      <c r="B41" t="s">
        <v>36</v>
      </c>
      <c r="C41" t="s">
        <v>45</v>
      </c>
      <c r="D41" s="2">
        <v>701740</v>
      </c>
      <c r="E41" t="s">
        <v>13</v>
      </c>
      <c r="F41">
        <v>66.9161</v>
      </c>
      <c r="G41">
        <v>-151.50890000000001</v>
      </c>
      <c r="H41">
        <v>-10</v>
      </c>
      <c r="I41">
        <v>195.7</v>
      </c>
      <c r="J41" t="str">
        <f>HYPERLINK("https://climate.onebuilding.org/WMO_Region_4_North_and_Central_America/USA_United_States_of_America/AK_Alaska/USA_AK_Bettles.AP.701740_US.Normals.2006-2020.zip")</f>
        <v>https://climate.onebuilding.org/WMO_Region_4_North_and_Central_America/USA_United_States_of_America/AK_Alaska/USA_AK_Bettles.AP.701740_US.Normals.2006-2020.zip</v>
      </c>
    </row>
    <row r="42" spans="1:10" x14ac:dyDescent="0.25">
      <c r="A42" t="s">
        <v>35</v>
      </c>
      <c r="B42" t="s">
        <v>36</v>
      </c>
      <c r="C42" t="s">
        <v>46</v>
      </c>
      <c r="D42" s="2">
        <v>702670</v>
      </c>
      <c r="E42" t="s">
        <v>13</v>
      </c>
      <c r="F42">
        <v>63.994399999999999</v>
      </c>
      <c r="G42">
        <v>-145.72139999999999</v>
      </c>
      <c r="H42">
        <v>-10</v>
      </c>
      <c r="I42">
        <v>389.2</v>
      </c>
      <c r="J42" t="str">
        <f>HYPERLINK("https://climate.onebuilding.org/WMO_Region_4_North_and_Central_America/USA_United_States_of_America/AK_Alaska/USA_AK_Big.Delta-Ft.Greely.Allen.AAF.702670_US.Normals.1981-2010.zip")</f>
        <v>https://climate.onebuilding.org/WMO_Region_4_North_and_Central_America/USA_United_States_of_America/AK_Alaska/USA_AK_Big.Delta-Ft.Greely.Allen.AAF.702670_US.Normals.1981-2010.zip</v>
      </c>
    </row>
    <row r="43" spans="1:10" x14ac:dyDescent="0.25">
      <c r="A43" t="s">
        <v>35</v>
      </c>
      <c r="B43" t="s">
        <v>36</v>
      </c>
      <c r="C43" t="s">
        <v>46</v>
      </c>
      <c r="D43" s="2">
        <v>702670</v>
      </c>
      <c r="E43" t="s">
        <v>13</v>
      </c>
      <c r="F43">
        <v>63.994399999999999</v>
      </c>
      <c r="G43">
        <v>-145.72139999999999</v>
      </c>
      <c r="H43">
        <v>-10</v>
      </c>
      <c r="I43">
        <v>389.2</v>
      </c>
      <c r="J43" t="str">
        <f>HYPERLINK("https://climate.onebuilding.org/WMO_Region_4_North_and_Central_America/USA_United_States_of_America/AK_Alaska/USA_AK_Big.Delta-Ft.Greely.Allen.AAF.702670_US.Normals.1991-2020.zip")</f>
        <v>https://climate.onebuilding.org/WMO_Region_4_North_and_Central_America/USA_United_States_of_America/AK_Alaska/USA_AK_Big.Delta-Ft.Greely.Allen.AAF.702670_US.Normals.1991-2020.zip</v>
      </c>
    </row>
    <row r="44" spans="1:10" x14ac:dyDescent="0.25">
      <c r="A44" t="s">
        <v>35</v>
      </c>
      <c r="B44" t="s">
        <v>36</v>
      </c>
      <c r="C44" t="s">
        <v>46</v>
      </c>
      <c r="D44" s="2">
        <v>702670</v>
      </c>
      <c r="E44" t="s">
        <v>13</v>
      </c>
      <c r="F44">
        <v>63.994399999999999</v>
      </c>
      <c r="G44">
        <v>-145.72139999999999</v>
      </c>
      <c r="H44">
        <v>-10</v>
      </c>
      <c r="I44">
        <v>389.2</v>
      </c>
      <c r="J44" t="str">
        <f>HYPERLINK("https://climate.onebuilding.org/WMO_Region_4_North_and_Central_America/USA_United_States_of_America/AK_Alaska/USA_AK_Big.Delta-Ft.Greely.Allen.AAF.702670_US.Normals.2006-2020.zip")</f>
        <v>https://climate.onebuilding.org/WMO_Region_4_North_and_Central_America/USA_United_States_of_America/AK_Alaska/USA_AK_Big.Delta-Ft.Greely.Allen.AAF.702670_US.Normals.2006-2020.zip</v>
      </c>
    </row>
    <row r="45" spans="1:10" x14ac:dyDescent="0.25">
      <c r="A45" t="s">
        <v>35</v>
      </c>
      <c r="B45" t="s">
        <v>36</v>
      </c>
      <c r="C45" t="s">
        <v>47</v>
      </c>
      <c r="D45" s="2">
        <v>701040</v>
      </c>
      <c r="E45" t="s">
        <v>13</v>
      </c>
      <c r="F45">
        <v>68.875</v>
      </c>
      <c r="G45">
        <v>-166.113</v>
      </c>
      <c r="H45">
        <v>-11</v>
      </c>
      <c r="I45">
        <v>4</v>
      </c>
      <c r="J45" t="str">
        <f>HYPERLINK("https://climate.onebuilding.org/WMO_Region_4_North_and_Central_America/USA_United_States_of_America/AK_Alaska/USA_AK_Cape.Lisburne.AFS.701040_US.Normals.2006-2020.zip")</f>
        <v>https://climate.onebuilding.org/WMO_Region_4_North_and_Central_America/USA_United_States_of_America/AK_Alaska/USA_AK_Cape.Lisburne.AFS.701040_US.Normals.2006-2020.zip</v>
      </c>
    </row>
    <row r="46" spans="1:10" x14ac:dyDescent="0.25">
      <c r="A46" t="s">
        <v>35</v>
      </c>
      <c r="B46" t="s">
        <v>36</v>
      </c>
      <c r="C46" t="s">
        <v>48</v>
      </c>
      <c r="D46" s="2">
        <v>703050</v>
      </c>
      <c r="E46" t="s">
        <v>13</v>
      </c>
      <c r="F46">
        <v>58.65</v>
      </c>
      <c r="G46">
        <v>-162.0667</v>
      </c>
      <c r="H46">
        <v>-11</v>
      </c>
      <c r="I46">
        <v>71.900000000000006</v>
      </c>
      <c r="J46" t="str">
        <f>HYPERLINK("https://climate.onebuilding.org/WMO_Region_4_North_and_Central_America/USA_United_States_of_America/AK_Alaska/USA_AK_Cape.Newenham.LRRS.AP.703050_US.Normals.2006-2020.zip")</f>
        <v>https://climate.onebuilding.org/WMO_Region_4_North_and_Central_America/USA_United_States_of_America/AK_Alaska/USA_AK_Cape.Newenham.LRRS.AP.703050_US.Normals.2006-2020.zip</v>
      </c>
    </row>
    <row r="47" spans="1:10" x14ac:dyDescent="0.25">
      <c r="A47" t="s">
        <v>35</v>
      </c>
      <c r="B47" t="s">
        <v>36</v>
      </c>
      <c r="C47" t="s">
        <v>49</v>
      </c>
      <c r="D47" s="2">
        <v>703160</v>
      </c>
      <c r="E47" t="s">
        <v>13</v>
      </c>
      <c r="F47">
        <v>55.220799999999997</v>
      </c>
      <c r="G47">
        <v>-162.73249999999999</v>
      </c>
      <c r="H47">
        <v>-11</v>
      </c>
      <c r="I47">
        <v>23.8</v>
      </c>
      <c r="J47" t="str">
        <f>HYPERLINK("https://climate.onebuilding.org/WMO_Region_4_North_and_Central_America/USA_United_States_of_America/AK_Alaska/USA_AK_Cold.Bay.AP.703160_US.Normals.1981-2010.zip")</f>
        <v>https://climate.onebuilding.org/WMO_Region_4_North_and_Central_America/USA_United_States_of_America/AK_Alaska/USA_AK_Cold.Bay.AP.703160_US.Normals.1981-2010.zip</v>
      </c>
    </row>
    <row r="48" spans="1:10" x14ac:dyDescent="0.25">
      <c r="A48" t="s">
        <v>35</v>
      </c>
      <c r="B48" t="s">
        <v>36</v>
      </c>
      <c r="C48" t="s">
        <v>49</v>
      </c>
      <c r="D48" s="2">
        <v>703160</v>
      </c>
      <c r="E48" t="s">
        <v>13</v>
      </c>
      <c r="F48">
        <v>55.220799999999997</v>
      </c>
      <c r="G48">
        <v>-162.73249999999999</v>
      </c>
      <c r="H48">
        <v>-11</v>
      </c>
      <c r="I48">
        <v>23.8</v>
      </c>
      <c r="J48" t="str">
        <f>HYPERLINK("https://climate.onebuilding.org/WMO_Region_4_North_and_Central_America/USA_United_States_of_America/AK_Alaska/USA_AK_Cold.Bay.AP.703160_US.Normals.1991-2020.zip")</f>
        <v>https://climate.onebuilding.org/WMO_Region_4_North_and_Central_America/USA_United_States_of_America/AK_Alaska/USA_AK_Cold.Bay.AP.703160_US.Normals.1991-2020.zip</v>
      </c>
    </row>
    <row r="49" spans="1:10" x14ac:dyDescent="0.25">
      <c r="A49" t="s">
        <v>35</v>
      </c>
      <c r="B49" t="s">
        <v>36</v>
      </c>
      <c r="C49" t="s">
        <v>49</v>
      </c>
      <c r="D49" s="2">
        <v>703160</v>
      </c>
      <c r="E49" t="s">
        <v>13</v>
      </c>
      <c r="F49">
        <v>55.220799999999997</v>
      </c>
      <c r="G49">
        <v>-162.73249999999999</v>
      </c>
      <c r="H49">
        <v>-11</v>
      </c>
      <c r="I49">
        <v>23.8</v>
      </c>
      <c r="J49" t="str">
        <f>HYPERLINK("https://climate.onebuilding.org/WMO_Region_4_North_and_Central_America/USA_United_States_of_America/AK_Alaska/USA_AK_Cold.Bay.AP.703160_US.Normals.2006-2020.zip")</f>
        <v>https://climate.onebuilding.org/WMO_Region_4_North_and_Central_America/USA_United_States_of_America/AK_Alaska/USA_AK_Cold.Bay.AP.703160_US.Normals.2006-2020.zip</v>
      </c>
    </row>
    <row r="50" spans="1:10" x14ac:dyDescent="0.25">
      <c r="A50" t="s">
        <v>35</v>
      </c>
      <c r="B50" t="s">
        <v>36</v>
      </c>
      <c r="C50" t="s">
        <v>50</v>
      </c>
      <c r="D50" s="2">
        <v>702960</v>
      </c>
      <c r="E50" t="s">
        <v>13</v>
      </c>
      <c r="F50">
        <v>60.488900000000001</v>
      </c>
      <c r="G50">
        <v>-145.4511</v>
      </c>
      <c r="H50">
        <v>-10</v>
      </c>
      <c r="I50">
        <v>9.4</v>
      </c>
      <c r="J50" t="str">
        <f>HYPERLINK("https://climate.onebuilding.org/WMO_Region_4_North_and_Central_America/USA_United_States_of_America/AK_Alaska/USA_AK_Cordova-Smith.AP.702960_US.Normals.1981-2010.zip")</f>
        <v>https://climate.onebuilding.org/WMO_Region_4_North_and_Central_America/USA_United_States_of_America/AK_Alaska/USA_AK_Cordova-Smith.AP.702960_US.Normals.1981-2010.zip</v>
      </c>
    </row>
    <row r="51" spans="1:10" x14ac:dyDescent="0.25">
      <c r="A51" t="s">
        <v>35</v>
      </c>
      <c r="B51" t="s">
        <v>36</v>
      </c>
      <c r="C51" t="s">
        <v>50</v>
      </c>
      <c r="D51" s="2">
        <v>702960</v>
      </c>
      <c r="E51" t="s">
        <v>13</v>
      </c>
      <c r="F51">
        <v>60.488900000000001</v>
      </c>
      <c r="G51">
        <v>-145.4511</v>
      </c>
      <c r="H51">
        <v>-10</v>
      </c>
      <c r="I51">
        <v>9.4</v>
      </c>
      <c r="J51" t="str">
        <f>HYPERLINK("https://climate.onebuilding.org/WMO_Region_4_North_and_Central_America/USA_United_States_of_America/AK_Alaska/USA_AK_Cordova-Smith.AP.702960_US.Normals.1991-2020.zip")</f>
        <v>https://climate.onebuilding.org/WMO_Region_4_North_and_Central_America/USA_United_States_of_America/AK_Alaska/USA_AK_Cordova-Smith.AP.702960_US.Normals.1991-2020.zip</v>
      </c>
    </row>
    <row r="52" spans="1:10" x14ac:dyDescent="0.25">
      <c r="A52" t="s">
        <v>35</v>
      </c>
      <c r="B52" t="s">
        <v>36</v>
      </c>
      <c r="C52" t="s">
        <v>50</v>
      </c>
      <c r="D52" s="2">
        <v>702960</v>
      </c>
      <c r="E52" t="s">
        <v>13</v>
      </c>
      <c r="F52">
        <v>60.488900000000001</v>
      </c>
      <c r="G52">
        <v>-145.4511</v>
      </c>
      <c r="H52">
        <v>-10</v>
      </c>
      <c r="I52">
        <v>9.4</v>
      </c>
      <c r="J52" t="str">
        <f>HYPERLINK("https://climate.onebuilding.org/WMO_Region_4_North_and_Central_America/USA_United_States_of_America/AK_Alaska/USA_AK_Cordova-Smith.AP.702960_US.Normals.2006-2020.zip")</f>
        <v>https://climate.onebuilding.org/WMO_Region_4_North_and_Central_America/USA_United_States_of_America/AK_Alaska/USA_AK_Cordova-Smith.AP.702960_US.Normals.2006-2020.zip</v>
      </c>
    </row>
    <row r="53" spans="1:10" x14ac:dyDescent="0.25">
      <c r="A53" t="s">
        <v>35</v>
      </c>
      <c r="B53" t="s">
        <v>36</v>
      </c>
      <c r="C53" t="s">
        <v>51</v>
      </c>
      <c r="D53" s="2">
        <v>700637</v>
      </c>
      <c r="E53" t="s">
        <v>13</v>
      </c>
      <c r="F53">
        <v>70.191699999999997</v>
      </c>
      <c r="G53">
        <v>-148.47720000000001</v>
      </c>
      <c r="H53">
        <v>-10</v>
      </c>
      <c r="I53">
        <v>18.600000000000001</v>
      </c>
      <c r="J53" t="str">
        <f>HYPERLINK("https://climate.onebuilding.org/WMO_Region_4_North_and_Central_America/USA_United_States_of_America/AK_Alaska/USA_AK_Deadhorse.AP.700637_US.Normals.1991-2020.zip")</f>
        <v>https://climate.onebuilding.org/WMO_Region_4_North_and_Central_America/USA_United_States_of_America/AK_Alaska/USA_AK_Deadhorse.AP.700637_US.Normals.1991-2020.zip</v>
      </c>
    </row>
    <row r="54" spans="1:10" x14ac:dyDescent="0.25">
      <c r="A54" t="s">
        <v>35</v>
      </c>
      <c r="B54" t="s">
        <v>36</v>
      </c>
      <c r="C54" t="s">
        <v>51</v>
      </c>
      <c r="D54" s="2">
        <v>700637</v>
      </c>
      <c r="E54" t="s">
        <v>13</v>
      </c>
      <c r="F54">
        <v>70.191699999999997</v>
      </c>
      <c r="G54">
        <v>-148.47720000000001</v>
      </c>
      <c r="H54">
        <v>-10</v>
      </c>
      <c r="I54">
        <v>18.600000000000001</v>
      </c>
      <c r="J54" t="str">
        <f>HYPERLINK("https://climate.onebuilding.org/WMO_Region_4_North_and_Central_America/USA_United_States_of_America/AK_Alaska/USA_AK_Deadhorse.AP.700637_US.Normals.2006-2020.zip")</f>
        <v>https://climate.onebuilding.org/WMO_Region_4_North_and_Central_America/USA_United_States_of_America/AK_Alaska/USA_AK_Deadhorse.AP.700637_US.Normals.2006-2020.zip</v>
      </c>
    </row>
    <row r="55" spans="1:10" x14ac:dyDescent="0.25">
      <c r="A55" t="s">
        <v>35</v>
      </c>
      <c r="B55" t="s">
        <v>36</v>
      </c>
      <c r="C55" t="s">
        <v>52</v>
      </c>
      <c r="D55" s="2">
        <v>701333</v>
      </c>
      <c r="E55" t="s">
        <v>13</v>
      </c>
      <c r="F55">
        <v>66.068899999999999</v>
      </c>
      <c r="G55">
        <v>-162.76390000000001</v>
      </c>
      <c r="H55">
        <v>-11</v>
      </c>
      <c r="I55">
        <v>6.4</v>
      </c>
      <c r="J55" t="str">
        <f>HYPERLINK("https://climate.onebuilding.org/WMO_Region_4_North_and_Central_America/USA_United_States_of_America/AK_Alaska/USA_AK_Deering.AP.701333_US.Normals.2006-2020.zip")</f>
        <v>https://climate.onebuilding.org/WMO_Region_4_North_and_Central_America/USA_United_States_of_America/AK_Alaska/USA_AK_Deering.AP.701333_US.Normals.2006-2020.zip</v>
      </c>
    </row>
    <row r="56" spans="1:10" x14ac:dyDescent="0.25">
      <c r="A56" t="s">
        <v>35</v>
      </c>
      <c r="B56" t="s">
        <v>36</v>
      </c>
      <c r="C56" t="s">
        <v>53</v>
      </c>
      <c r="D56" s="2">
        <v>704890</v>
      </c>
      <c r="E56" t="s">
        <v>13</v>
      </c>
      <c r="F56">
        <v>53.895000000000003</v>
      </c>
      <c r="G56">
        <v>-166.54329999999999</v>
      </c>
      <c r="H56">
        <v>-11</v>
      </c>
      <c r="I56">
        <v>3</v>
      </c>
      <c r="J56" t="str">
        <f>HYPERLINK("https://climate.onebuilding.org/WMO_Region_4_North_and_Central_America/USA_United_States_of_America/AK_Alaska/USA_AK_Dutch.Harbor-Unalaska-Madsen.AP.704890_US.Normals.2006-2020.zip")</f>
        <v>https://climate.onebuilding.org/WMO_Region_4_North_and_Central_America/USA_United_States_of_America/AK_Alaska/USA_AK_Dutch.Harbor-Unalaska-Madsen.AP.704890_US.Normals.2006-2020.zip</v>
      </c>
    </row>
    <row r="57" spans="1:10" x14ac:dyDescent="0.25">
      <c r="A57" t="s">
        <v>35</v>
      </c>
      <c r="B57" t="s">
        <v>36</v>
      </c>
      <c r="C57" t="s">
        <v>54</v>
      </c>
      <c r="D57" s="2">
        <v>701975</v>
      </c>
      <c r="E57" t="s">
        <v>13</v>
      </c>
      <c r="F57">
        <v>64.776700000000005</v>
      </c>
      <c r="G57">
        <v>-141.14830000000001</v>
      </c>
      <c r="H57">
        <v>-9</v>
      </c>
      <c r="I57">
        <v>276.8</v>
      </c>
      <c r="J57" t="str">
        <f>HYPERLINK("https://climate.onebuilding.org/WMO_Region_4_North_and_Central_America/USA_United_States_of_America/AK_Alaska/USA_AK_Eagle.AP.701975_US.Normals.2006-2020.zip")</f>
        <v>https://climate.onebuilding.org/WMO_Region_4_North_and_Central_America/USA_United_States_of_America/AK_Alaska/USA_AK_Eagle.AP.701975_US.Normals.2006-2020.zip</v>
      </c>
    </row>
    <row r="58" spans="1:10" x14ac:dyDescent="0.25">
      <c r="A58" t="s">
        <v>35</v>
      </c>
      <c r="B58" t="s">
        <v>36</v>
      </c>
      <c r="C58" t="s">
        <v>55</v>
      </c>
      <c r="D58" s="2">
        <v>702650</v>
      </c>
      <c r="E58" t="s">
        <v>13</v>
      </c>
      <c r="F58">
        <v>64.683300000000003</v>
      </c>
      <c r="G58">
        <v>-147.08330000000001</v>
      </c>
      <c r="H58">
        <v>-10</v>
      </c>
      <c r="I58">
        <v>173.1</v>
      </c>
      <c r="J58" t="str">
        <f>HYPERLINK("https://climate.onebuilding.org/WMO_Region_4_North_and_Central_America/USA_United_States_of_America/AK_Alaska/USA_AK_Fairbanks-Eielson.AFB.702650_US.Normals.2006-2020.zip")</f>
        <v>https://climate.onebuilding.org/WMO_Region_4_North_and_Central_America/USA_United_States_of_America/AK_Alaska/USA_AK_Fairbanks-Eielson.AFB.702650_US.Normals.2006-2020.zip</v>
      </c>
    </row>
    <row r="59" spans="1:10" x14ac:dyDescent="0.25">
      <c r="A59" t="s">
        <v>35</v>
      </c>
      <c r="B59" t="s">
        <v>36</v>
      </c>
      <c r="C59" t="s">
        <v>56</v>
      </c>
      <c r="D59" s="2">
        <v>702630</v>
      </c>
      <c r="E59" t="s">
        <v>13</v>
      </c>
      <c r="F59">
        <v>64.973600000000005</v>
      </c>
      <c r="G59">
        <v>-147.51</v>
      </c>
      <c r="H59">
        <v>-10</v>
      </c>
      <c r="I59">
        <v>347.5</v>
      </c>
      <c r="J59" t="str">
        <f>HYPERLINK("https://climate.onebuilding.org/WMO_Region_4_North_and_Central_America/USA_United_States_of_America/AK_Alaska/USA_AK_Fairbanks.11.NE-NOAA-NESDIS-FCDAS.702630_US.Normals.2006-2020.zip")</f>
        <v>https://climate.onebuilding.org/WMO_Region_4_North_and_Central_America/USA_United_States_of_America/AK_Alaska/USA_AK_Fairbanks.11.NE-NOAA-NESDIS-FCDAS.702630_US.Normals.2006-2020.zip</v>
      </c>
    </row>
    <row r="60" spans="1:10" x14ac:dyDescent="0.25">
      <c r="A60" t="s">
        <v>35</v>
      </c>
      <c r="B60" t="s">
        <v>36</v>
      </c>
      <c r="C60" t="s">
        <v>57</v>
      </c>
      <c r="D60" s="2">
        <v>702610</v>
      </c>
      <c r="E60" t="s">
        <v>13</v>
      </c>
      <c r="F60">
        <v>64.803899999999999</v>
      </c>
      <c r="G60">
        <v>-147.87610000000001</v>
      </c>
      <c r="H60">
        <v>-10</v>
      </c>
      <c r="I60">
        <v>131.69999999999999</v>
      </c>
      <c r="J60" t="str">
        <f>HYPERLINK("https://climate.onebuilding.org/WMO_Region_4_North_and_Central_America/USA_United_States_of_America/AK_Alaska/USA_AK_Fairbanks.Intl.AP.702610_US.Normals.1981-2010.zip")</f>
        <v>https://climate.onebuilding.org/WMO_Region_4_North_and_Central_America/USA_United_States_of_America/AK_Alaska/USA_AK_Fairbanks.Intl.AP.702610_US.Normals.1981-2010.zip</v>
      </c>
    </row>
    <row r="61" spans="1:10" x14ac:dyDescent="0.25">
      <c r="A61" t="s">
        <v>35</v>
      </c>
      <c r="B61" t="s">
        <v>36</v>
      </c>
      <c r="C61" t="s">
        <v>57</v>
      </c>
      <c r="D61" s="2">
        <v>702610</v>
      </c>
      <c r="E61" t="s">
        <v>13</v>
      </c>
      <c r="F61">
        <v>64.803899999999999</v>
      </c>
      <c r="G61">
        <v>-147.87610000000001</v>
      </c>
      <c r="H61">
        <v>-10</v>
      </c>
      <c r="I61">
        <v>131.69999999999999</v>
      </c>
      <c r="J61" t="str">
        <f>HYPERLINK("https://climate.onebuilding.org/WMO_Region_4_North_and_Central_America/USA_United_States_of_America/AK_Alaska/USA_AK_Fairbanks.Intl.AP.702610_US.Normals.1991-2020.zip")</f>
        <v>https://climate.onebuilding.org/WMO_Region_4_North_and_Central_America/USA_United_States_of_America/AK_Alaska/USA_AK_Fairbanks.Intl.AP.702610_US.Normals.1991-2020.zip</v>
      </c>
    </row>
    <row r="62" spans="1:10" x14ac:dyDescent="0.25">
      <c r="A62" t="s">
        <v>35</v>
      </c>
      <c r="B62" t="s">
        <v>36</v>
      </c>
      <c r="C62" t="s">
        <v>57</v>
      </c>
      <c r="D62" s="2">
        <v>702610</v>
      </c>
      <c r="E62" t="s">
        <v>13</v>
      </c>
      <c r="F62">
        <v>64.803899999999999</v>
      </c>
      <c r="G62">
        <v>-147.87610000000001</v>
      </c>
      <c r="H62">
        <v>-10</v>
      </c>
      <c r="I62">
        <v>131.69999999999999</v>
      </c>
      <c r="J62" t="str">
        <f>HYPERLINK("https://climate.onebuilding.org/WMO_Region_4_North_and_Central_America/USA_United_States_of_America/AK_Alaska/USA_AK_Fairbanks.Intl.AP.702610_US.Normals.2006-2020.zip")</f>
        <v>https://climate.onebuilding.org/WMO_Region_4_North_and_Central_America/USA_United_States_of_America/AK_Alaska/USA_AK_Fairbanks.Intl.AP.702610_US.Normals.2006-2020.zip</v>
      </c>
    </row>
    <row r="63" spans="1:10" x14ac:dyDescent="0.25">
      <c r="A63" t="s">
        <v>35</v>
      </c>
      <c r="B63" t="s">
        <v>36</v>
      </c>
      <c r="C63" t="s">
        <v>58</v>
      </c>
      <c r="D63" s="2">
        <v>702220</v>
      </c>
      <c r="E63" t="s">
        <v>13</v>
      </c>
      <c r="F63">
        <v>64.736699999999999</v>
      </c>
      <c r="G63">
        <v>-156.93440000000001</v>
      </c>
      <c r="H63">
        <v>-10</v>
      </c>
      <c r="I63">
        <v>46.6</v>
      </c>
      <c r="J63" t="str">
        <f>HYPERLINK("https://climate.onebuilding.org/WMO_Region_4_North_and_Central_America/USA_United_States_of_America/AK_Alaska/USA_AK_Galena-Pike.AP.702220_US.Normals.1981-2010.zip")</f>
        <v>https://climate.onebuilding.org/WMO_Region_4_North_and_Central_America/USA_United_States_of_America/AK_Alaska/USA_AK_Galena-Pike.AP.702220_US.Normals.1981-2010.zip</v>
      </c>
    </row>
    <row r="64" spans="1:10" x14ac:dyDescent="0.25">
      <c r="A64" t="s">
        <v>35</v>
      </c>
      <c r="B64" t="s">
        <v>36</v>
      </c>
      <c r="C64" t="s">
        <v>58</v>
      </c>
      <c r="D64" s="2">
        <v>702220</v>
      </c>
      <c r="E64" t="s">
        <v>13</v>
      </c>
      <c r="F64">
        <v>64.736699999999999</v>
      </c>
      <c r="G64">
        <v>-156.93440000000001</v>
      </c>
      <c r="H64">
        <v>-10</v>
      </c>
      <c r="I64">
        <v>46.6</v>
      </c>
      <c r="J64" t="str">
        <f>HYPERLINK("https://climate.onebuilding.org/WMO_Region_4_North_and_Central_America/USA_United_States_of_America/AK_Alaska/USA_AK_Galena-Pike.AP.702220_US.Normals.1991-2020.zip")</f>
        <v>https://climate.onebuilding.org/WMO_Region_4_North_and_Central_America/USA_United_States_of_America/AK_Alaska/USA_AK_Galena-Pike.AP.702220_US.Normals.1991-2020.zip</v>
      </c>
    </row>
    <row r="65" spans="1:10" x14ac:dyDescent="0.25">
      <c r="A65" t="s">
        <v>35</v>
      </c>
      <c r="B65" t="s">
        <v>36</v>
      </c>
      <c r="C65" t="s">
        <v>58</v>
      </c>
      <c r="D65" s="2">
        <v>702220</v>
      </c>
      <c r="E65" t="s">
        <v>13</v>
      </c>
      <c r="F65">
        <v>64.736699999999999</v>
      </c>
      <c r="G65">
        <v>-156.93440000000001</v>
      </c>
      <c r="H65">
        <v>-10</v>
      </c>
      <c r="I65">
        <v>46.6</v>
      </c>
      <c r="J65" t="str">
        <f>HYPERLINK("https://climate.onebuilding.org/WMO_Region_4_North_and_Central_America/USA_United_States_of_America/AK_Alaska/USA_AK_Galena-Pike.AP.702220_US.Normals.2006-2020.zip")</f>
        <v>https://climate.onebuilding.org/WMO_Region_4_North_and_Central_America/USA_United_States_of_America/AK_Alaska/USA_AK_Galena-Pike.AP.702220_US.Normals.2006-2020.zip</v>
      </c>
    </row>
    <row r="66" spans="1:10" x14ac:dyDescent="0.25">
      <c r="A66" t="s">
        <v>35</v>
      </c>
      <c r="B66" t="s">
        <v>36</v>
      </c>
      <c r="C66" t="s">
        <v>59</v>
      </c>
      <c r="D66" s="2">
        <v>702710</v>
      </c>
      <c r="E66" t="s">
        <v>13</v>
      </c>
      <c r="F66">
        <v>62.159199999999998</v>
      </c>
      <c r="G66">
        <v>-145.4589</v>
      </c>
      <c r="H66">
        <v>-10</v>
      </c>
      <c r="I66">
        <v>476.1</v>
      </c>
      <c r="J66" t="str">
        <f>HYPERLINK("https://climate.onebuilding.org/WMO_Region_4_North_and_Central_America/USA_United_States_of_America/AK_Alaska/USA_AK_Gulkana.AP.702710_US.Normals.1991-2020.zip")</f>
        <v>https://climate.onebuilding.org/WMO_Region_4_North_and_Central_America/USA_United_States_of_America/AK_Alaska/USA_AK_Gulkana.AP.702710_US.Normals.1991-2020.zip</v>
      </c>
    </row>
    <row r="67" spans="1:10" x14ac:dyDescent="0.25">
      <c r="A67" t="s">
        <v>35</v>
      </c>
      <c r="B67" t="s">
        <v>36</v>
      </c>
      <c r="C67" t="s">
        <v>59</v>
      </c>
      <c r="D67" s="2">
        <v>702710</v>
      </c>
      <c r="E67" t="s">
        <v>13</v>
      </c>
      <c r="F67">
        <v>62.159199999999998</v>
      </c>
      <c r="G67">
        <v>-145.4589</v>
      </c>
      <c r="H67">
        <v>-10</v>
      </c>
      <c r="I67">
        <v>476.1</v>
      </c>
      <c r="J67" t="str">
        <f>HYPERLINK("https://climate.onebuilding.org/WMO_Region_4_North_and_Central_America/USA_United_States_of_America/AK_Alaska/USA_AK_Gulkana.AP.702710_US.Normals.2006-2020.zip")</f>
        <v>https://climate.onebuilding.org/WMO_Region_4_North_and_Central_America/USA_United_States_of_America/AK_Alaska/USA_AK_Gulkana.AP.702710_US.Normals.2006-2020.zip</v>
      </c>
    </row>
    <row r="68" spans="1:10" x14ac:dyDescent="0.25">
      <c r="A68" t="s">
        <v>35</v>
      </c>
      <c r="B68" t="s">
        <v>36</v>
      </c>
      <c r="C68" t="s">
        <v>60</v>
      </c>
      <c r="D68" s="2">
        <v>703670</v>
      </c>
      <c r="E68" t="s">
        <v>13</v>
      </c>
      <c r="F68">
        <v>58.411099999999998</v>
      </c>
      <c r="G68">
        <v>-135.7089</v>
      </c>
      <c r="H68">
        <v>-9</v>
      </c>
      <c r="I68">
        <v>12.2</v>
      </c>
      <c r="J68" t="str">
        <f>HYPERLINK("https://climate.onebuilding.org/WMO_Region_4_North_and_Central_America/USA_United_States_of_America/AK_Alaska/USA_AK_Gustavus.AP.703670_US.Normals.2006-2020.zip")</f>
        <v>https://climate.onebuilding.org/WMO_Region_4_North_and_Central_America/USA_United_States_of_America/AK_Alaska/USA_AK_Gustavus.AP.703670_US.Normals.2006-2020.zip</v>
      </c>
    </row>
    <row r="69" spans="1:10" x14ac:dyDescent="0.25">
      <c r="A69" t="s">
        <v>35</v>
      </c>
      <c r="B69" t="s">
        <v>36</v>
      </c>
      <c r="C69" t="s">
        <v>61</v>
      </c>
      <c r="D69" s="2">
        <v>703626</v>
      </c>
      <c r="E69" t="s">
        <v>13</v>
      </c>
      <c r="F69">
        <v>59.243299999999998</v>
      </c>
      <c r="G69">
        <v>-135.5094</v>
      </c>
      <c r="H69">
        <v>-9</v>
      </c>
      <c r="I69">
        <v>4.5999999999999996</v>
      </c>
      <c r="J69" t="str">
        <f>HYPERLINK("https://climate.onebuilding.org/WMO_Region_4_North_and_Central_America/USA_United_States_of_America/AK_Alaska/USA_AK_Haines.AP.703626_US.Normals.2006-2020.zip")</f>
        <v>https://climate.onebuilding.org/WMO_Region_4_North_and_Central_America/USA_United_States_of_America/AK_Alaska/USA_AK_Haines.AP.703626_US.Normals.2006-2020.zip</v>
      </c>
    </row>
    <row r="70" spans="1:10" x14ac:dyDescent="0.25">
      <c r="A70" t="s">
        <v>35</v>
      </c>
      <c r="B70" t="s">
        <v>36</v>
      </c>
      <c r="C70" t="s">
        <v>62</v>
      </c>
      <c r="D70" s="2">
        <v>703410</v>
      </c>
      <c r="E70" t="s">
        <v>13</v>
      </c>
      <c r="F70">
        <v>59.6419</v>
      </c>
      <c r="G70">
        <v>-151.49080000000001</v>
      </c>
      <c r="H70">
        <v>-10</v>
      </c>
      <c r="I70">
        <v>19.5</v>
      </c>
      <c r="J70" t="str">
        <f>HYPERLINK("https://climate.onebuilding.org/WMO_Region_4_North_and_Central_America/USA_United_States_of_America/AK_Alaska/USA_AK_Homer.AP.703410_US.Normals.1991-2020.zip")</f>
        <v>https://climate.onebuilding.org/WMO_Region_4_North_and_Central_America/USA_United_States_of_America/AK_Alaska/USA_AK_Homer.AP.703410_US.Normals.1991-2020.zip</v>
      </c>
    </row>
    <row r="71" spans="1:10" x14ac:dyDescent="0.25">
      <c r="A71" t="s">
        <v>35</v>
      </c>
      <c r="B71" t="s">
        <v>36</v>
      </c>
      <c r="C71" t="s">
        <v>62</v>
      </c>
      <c r="D71" s="2">
        <v>703410</v>
      </c>
      <c r="E71" t="s">
        <v>13</v>
      </c>
      <c r="F71">
        <v>59.6419</v>
      </c>
      <c r="G71">
        <v>-151.49080000000001</v>
      </c>
      <c r="H71">
        <v>-10</v>
      </c>
      <c r="I71">
        <v>19.5</v>
      </c>
      <c r="J71" t="str">
        <f>HYPERLINK("https://climate.onebuilding.org/WMO_Region_4_North_and_Central_America/USA_United_States_of_America/AK_Alaska/USA_AK_Homer.AP.703410_US.Normals.2006-2020.zip")</f>
        <v>https://climate.onebuilding.org/WMO_Region_4_North_and_Central_America/USA_United_States_of_America/AK_Alaska/USA_AK_Homer.AP.703410_US.Normals.2006-2020.zip</v>
      </c>
    </row>
    <row r="72" spans="1:10" x14ac:dyDescent="0.25">
      <c r="A72" t="s">
        <v>35</v>
      </c>
      <c r="B72" t="s">
        <v>36</v>
      </c>
      <c r="C72" t="s">
        <v>63</v>
      </c>
      <c r="D72" s="2">
        <v>703400</v>
      </c>
      <c r="E72" t="s">
        <v>13</v>
      </c>
      <c r="F72">
        <v>59.749400000000001</v>
      </c>
      <c r="G72">
        <v>-154.90889999999999</v>
      </c>
      <c r="H72">
        <v>-10</v>
      </c>
      <c r="I72">
        <v>43.6</v>
      </c>
      <c r="J72" t="str">
        <f>HYPERLINK("https://climate.onebuilding.org/WMO_Region_4_North_and_Central_America/USA_United_States_of_America/AK_Alaska/USA_AK_Iliamna.AP.703400_US.Normals.1991-2020.zip")</f>
        <v>https://climate.onebuilding.org/WMO_Region_4_North_and_Central_America/USA_United_States_of_America/AK_Alaska/USA_AK_Iliamna.AP.703400_US.Normals.1991-2020.zip</v>
      </c>
    </row>
    <row r="73" spans="1:10" x14ac:dyDescent="0.25">
      <c r="A73" t="s">
        <v>35</v>
      </c>
      <c r="B73" t="s">
        <v>36</v>
      </c>
      <c r="C73" t="s">
        <v>63</v>
      </c>
      <c r="D73" s="2">
        <v>703400</v>
      </c>
      <c r="E73" t="s">
        <v>13</v>
      </c>
      <c r="F73">
        <v>59.749400000000001</v>
      </c>
      <c r="G73">
        <v>-154.90889999999999</v>
      </c>
      <c r="H73">
        <v>-10</v>
      </c>
      <c r="I73">
        <v>43.6</v>
      </c>
      <c r="J73" t="str">
        <f>HYPERLINK("https://climate.onebuilding.org/WMO_Region_4_North_and_Central_America/USA_United_States_of_America/AK_Alaska/USA_AK_Iliamna.AP.703400_US.Normals.2006-2020.zip")</f>
        <v>https://climate.onebuilding.org/WMO_Region_4_North_and_Central_America/USA_United_States_of_America/AK_Alaska/USA_AK_Iliamna.AP.703400_US.Normals.2006-2020.zip</v>
      </c>
    </row>
    <row r="74" spans="1:10" x14ac:dyDescent="0.25">
      <c r="A74" t="s">
        <v>35</v>
      </c>
      <c r="B74" t="s">
        <v>36</v>
      </c>
      <c r="C74" t="s">
        <v>64</v>
      </c>
      <c r="D74" s="2">
        <v>703810</v>
      </c>
      <c r="E74" t="s">
        <v>13</v>
      </c>
      <c r="F74">
        <v>58.356699999999996</v>
      </c>
      <c r="G74">
        <v>-134.56389999999999</v>
      </c>
      <c r="H74">
        <v>-9</v>
      </c>
      <c r="I74">
        <v>4.9000000000000004</v>
      </c>
      <c r="J74" t="str">
        <f>HYPERLINK("https://climate.onebuilding.org/WMO_Region_4_North_and_Central_America/USA_United_States_of_America/AK_Alaska/USA_AK_Juneau.Intl.AP.703810_US.Normals.1981-2010.zip")</f>
        <v>https://climate.onebuilding.org/WMO_Region_4_North_and_Central_America/USA_United_States_of_America/AK_Alaska/USA_AK_Juneau.Intl.AP.703810_US.Normals.1981-2010.zip</v>
      </c>
    </row>
    <row r="75" spans="1:10" x14ac:dyDescent="0.25">
      <c r="A75" t="s">
        <v>35</v>
      </c>
      <c r="B75" t="s">
        <v>36</v>
      </c>
      <c r="C75" t="s">
        <v>64</v>
      </c>
      <c r="D75" s="2">
        <v>703810</v>
      </c>
      <c r="E75" t="s">
        <v>13</v>
      </c>
      <c r="F75">
        <v>58.356699999999996</v>
      </c>
      <c r="G75">
        <v>-134.56389999999999</v>
      </c>
      <c r="H75">
        <v>-9</v>
      </c>
      <c r="I75">
        <v>4.9000000000000004</v>
      </c>
      <c r="J75" t="str">
        <f>HYPERLINK("https://climate.onebuilding.org/WMO_Region_4_North_and_Central_America/USA_United_States_of_America/AK_Alaska/USA_AK_Juneau.Intl.AP.703810_US.Normals.1991-2020.zip")</f>
        <v>https://climate.onebuilding.org/WMO_Region_4_North_and_Central_America/USA_United_States_of_America/AK_Alaska/USA_AK_Juneau.Intl.AP.703810_US.Normals.1991-2020.zip</v>
      </c>
    </row>
    <row r="76" spans="1:10" x14ac:dyDescent="0.25">
      <c r="A76" t="s">
        <v>35</v>
      </c>
      <c r="B76" t="s">
        <v>36</v>
      </c>
      <c r="C76" t="s">
        <v>64</v>
      </c>
      <c r="D76" s="2">
        <v>703810</v>
      </c>
      <c r="E76" t="s">
        <v>13</v>
      </c>
      <c r="F76">
        <v>58.356699999999996</v>
      </c>
      <c r="G76">
        <v>-134.56389999999999</v>
      </c>
      <c r="H76">
        <v>-9</v>
      </c>
      <c r="I76">
        <v>4.9000000000000004</v>
      </c>
      <c r="J76" t="str">
        <f>HYPERLINK("https://climate.onebuilding.org/WMO_Region_4_North_and_Central_America/USA_United_States_of_America/AK_Alaska/USA_AK_Juneau.Intl.AP.703810_US.Normals.2006-2020.zip")</f>
        <v>https://climate.onebuilding.org/WMO_Region_4_North_and_Central_America/USA_United_States_of_America/AK_Alaska/USA_AK_Juneau.Intl.AP.703810_US.Normals.2006-2020.zip</v>
      </c>
    </row>
    <row r="77" spans="1:10" x14ac:dyDescent="0.25">
      <c r="A77" t="s">
        <v>35</v>
      </c>
      <c r="B77" t="s">
        <v>36</v>
      </c>
      <c r="C77" t="s">
        <v>65</v>
      </c>
      <c r="D77" s="2">
        <v>702006</v>
      </c>
      <c r="E77" t="s">
        <v>13</v>
      </c>
      <c r="F77">
        <v>64.326700000000002</v>
      </c>
      <c r="G77">
        <v>-158.74170000000001</v>
      </c>
      <c r="H77">
        <v>-11</v>
      </c>
      <c r="I77">
        <v>55.2</v>
      </c>
      <c r="J77" t="str">
        <f>HYPERLINK("https://climate.onebuilding.org/WMO_Region_4_North_and_Central_America/USA_United_States_of_America/AK_Alaska/USA_AK_Kaltag.AP.702006_US.Normals.2006-2020.zip")</f>
        <v>https://climate.onebuilding.org/WMO_Region_4_North_and_Central_America/USA_United_States_of_America/AK_Alaska/USA_AK_Kaltag.AP.702006_US.Normals.2006-2020.zip</v>
      </c>
    </row>
    <row r="78" spans="1:10" x14ac:dyDescent="0.25">
      <c r="A78" t="s">
        <v>35</v>
      </c>
      <c r="B78" t="s">
        <v>36</v>
      </c>
      <c r="C78" t="s">
        <v>66</v>
      </c>
      <c r="D78" s="2">
        <v>702590</v>
      </c>
      <c r="E78" t="s">
        <v>13</v>
      </c>
      <c r="F78">
        <v>60.579700000000003</v>
      </c>
      <c r="G78">
        <v>-151.23920000000001</v>
      </c>
      <c r="H78">
        <v>-10</v>
      </c>
      <c r="I78">
        <v>27.7</v>
      </c>
      <c r="J78" t="str">
        <f>HYPERLINK("https://climate.onebuilding.org/WMO_Region_4_North_and_Central_America/USA_United_States_of_America/AK_Alaska/USA_AK_Kenai.Muni.AP.702590_US.Normals.1981-2010.zip")</f>
        <v>https://climate.onebuilding.org/WMO_Region_4_North_and_Central_America/USA_United_States_of_America/AK_Alaska/USA_AK_Kenai.Muni.AP.702590_US.Normals.1981-2010.zip</v>
      </c>
    </row>
    <row r="79" spans="1:10" x14ac:dyDescent="0.25">
      <c r="A79" t="s">
        <v>35</v>
      </c>
      <c r="B79" t="s">
        <v>36</v>
      </c>
      <c r="C79" t="s">
        <v>66</v>
      </c>
      <c r="D79" s="2">
        <v>702590</v>
      </c>
      <c r="E79" t="s">
        <v>13</v>
      </c>
      <c r="F79">
        <v>60.579700000000003</v>
      </c>
      <c r="G79">
        <v>-151.23920000000001</v>
      </c>
      <c r="H79">
        <v>-10</v>
      </c>
      <c r="I79">
        <v>27.7</v>
      </c>
      <c r="J79" t="str">
        <f>HYPERLINK("https://climate.onebuilding.org/WMO_Region_4_North_and_Central_America/USA_United_States_of_America/AK_Alaska/USA_AK_Kenai.Muni.AP.702590_US.Normals.1991-2020.zip")</f>
        <v>https://climate.onebuilding.org/WMO_Region_4_North_and_Central_America/USA_United_States_of_America/AK_Alaska/USA_AK_Kenai.Muni.AP.702590_US.Normals.1991-2020.zip</v>
      </c>
    </row>
    <row r="80" spans="1:10" x14ac:dyDescent="0.25">
      <c r="A80" t="s">
        <v>35</v>
      </c>
      <c r="B80" t="s">
        <v>36</v>
      </c>
      <c r="C80" t="s">
        <v>66</v>
      </c>
      <c r="D80" s="2">
        <v>702590</v>
      </c>
      <c r="E80" t="s">
        <v>13</v>
      </c>
      <c r="F80">
        <v>60.579700000000003</v>
      </c>
      <c r="G80">
        <v>-151.23920000000001</v>
      </c>
      <c r="H80">
        <v>-10</v>
      </c>
      <c r="I80">
        <v>27.7</v>
      </c>
      <c r="J80" t="str">
        <f>HYPERLINK("https://climate.onebuilding.org/WMO_Region_4_North_and_Central_America/USA_United_States_of_America/AK_Alaska/USA_AK_Kenai.Muni.AP.702590_US.Normals.2006-2020.zip")</f>
        <v>https://climate.onebuilding.org/WMO_Region_4_North_and_Central_America/USA_United_States_of_America/AK_Alaska/USA_AK_Kenai.Muni.AP.702590_US.Normals.2006-2020.zip</v>
      </c>
    </row>
    <row r="81" spans="1:10" x14ac:dyDescent="0.25">
      <c r="A81" t="s">
        <v>35</v>
      </c>
      <c r="B81" t="s">
        <v>36</v>
      </c>
      <c r="C81" t="s">
        <v>67</v>
      </c>
      <c r="D81" s="2">
        <v>703950</v>
      </c>
      <c r="E81" t="s">
        <v>13</v>
      </c>
      <c r="F81">
        <v>55.356699999999996</v>
      </c>
      <c r="G81">
        <v>-131.71170000000001</v>
      </c>
      <c r="H81">
        <v>-9</v>
      </c>
      <c r="I81">
        <v>23.2</v>
      </c>
      <c r="J81" t="str">
        <f>HYPERLINK("https://climate.onebuilding.org/WMO_Region_4_North_and_Central_America/USA_United_States_of_America/AK_Alaska/USA_AK_Ketchikan.Intl.AP.703950_US.Normals.1981-2010.zip")</f>
        <v>https://climate.onebuilding.org/WMO_Region_4_North_and_Central_America/USA_United_States_of_America/AK_Alaska/USA_AK_Ketchikan.Intl.AP.703950_US.Normals.1981-2010.zip</v>
      </c>
    </row>
    <row r="82" spans="1:10" x14ac:dyDescent="0.25">
      <c r="A82" t="s">
        <v>35</v>
      </c>
      <c r="B82" t="s">
        <v>36</v>
      </c>
      <c r="C82" t="s">
        <v>67</v>
      </c>
      <c r="D82" s="2">
        <v>703950</v>
      </c>
      <c r="E82" t="s">
        <v>13</v>
      </c>
      <c r="F82">
        <v>55.356699999999996</v>
      </c>
      <c r="G82">
        <v>-131.71170000000001</v>
      </c>
      <c r="H82">
        <v>-9</v>
      </c>
      <c r="I82">
        <v>23.2</v>
      </c>
      <c r="J82" t="str">
        <f>HYPERLINK("https://climate.onebuilding.org/WMO_Region_4_North_and_Central_America/USA_United_States_of_America/AK_Alaska/USA_AK_Ketchikan.Intl.AP.703950_US.Normals.1991-2020.zip")</f>
        <v>https://climate.onebuilding.org/WMO_Region_4_North_and_Central_America/USA_United_States_of_America/AK_Alaska/USA_AK_Ketchikan.Intl.AP.703950_US.Normals.1991-2020.zip</v>
      </c>
    </row>
    <row r="83" spans="1:10" x14ac:dyDescent="0.25">
      <c r="A83" t="s">
        <v>35</v>
      </c>
      <c r="B83" t="s">
        <v>36</v>
      </c>
      <c r="C83" t="s">
        <v>67</v>
      </c>
      <c r="D83" s="2">
        <v>703950</v>
      </c>
      <c r="E83" t="s">
        <v>13</v>
      </c>
      <c r="F83">
        <v>55.356699999999996</v>
      </c>
      <c r="G83">
        <v>-131.71170000000001</v>
      </c>
      <c r="H83">
        <v>-9</v>
      </c>
      <c r="I83">
        <v>23.2</v>
      </c>
      <c r="J83" t="str">
        <f>HYPERLINK("https://climate.onebuilding.org/WMO_Region_4_North_and_Central_America/USA_United_States_of_America/AK_Alaska/USA_AK_Ketchikan.Intl.AP.703950_US.Normals.2006-2020.zip")</f>
        <v>https://climate.onebuilding.org/WMO_Region_4_North_and_Central_America/USA_United_States_of_America/AK_Alaska/USA_AK_Ketchikan.Intl.AP.703950_US.Normals.2006-2020.zip</v>
      </c>
    </row>
    <row r="84" spans="1:10" x14ac:dyDescent="0.25">
      <c r="A84" t="s">
        <v>35</v>
      </c>
      <c r="B84" t="s">
        <v>36</v>
      </c>
      <c r="C84" t="s">
        <v>68</v>
      </c>
      <c r="D84" s="2">
        <v>703260</v>
      </c>
      <c r="E84" t="s">
        <v>13</v>
      </c>
      <c r="F84">
        <v>58.679400000000001</v>
      </c>
      <c r="G84">
        <v>-156.6294</v>
      </c>
      <c r="H84">
        <v>-10</v>
      </c>
      <c r="I84">
        <v>19.2</v>
      </c>
      <c r="J84" t="str">
        <f>HYPERLINK("https://climate.onebuilding.org/WMO_Region_4_North_and_Central_America/USA_United_States_of_America/AK_Alaska/USA_AK_King.Salmon.AP.703260_US.Normals.1981-2010.zip")</f>
        <v>https://climate.onebuilding.org/WMO_Region_4_North_and_Central_America/USA_United_States_of_America/AK_Alaska/USA_AK_King.Salmon.AP.703260_US.Normals.1981-2010.zip</v>
      </c>
    </row>
    <row r="85" spans="1:10" x14ac:dyDescent="0.25">
      <c r="A85" t="s">
        <v>35</v>
      </c>
      <c r="B85" t="s">
        <v>36</v>
      </c>
      <c r="C85" t="s">
        <v>68</v>
      </c>
      <c r="D85" s="2">
        <v>703260</v>
      </c>
      <c r="E85" t="s">
        <v>13</v>
      </c>
      <c r="F85">
        <v>58.679400000000001</v>
      </c>
      <c r="G85">
        <v>-156.6294</v>
      </c>
      <c r="H85">
        <v>-10</v>
      </c>
      <c r="I85">
        <v>19.2</v>
      </c>
      <c r="J85" t="str">
        <f>HYPERLINK("https://climate.onebuilding.org/WMO_Region_4_North_and_Central_America/USA_United_States_of_America/AK_Alaska/USA_AK_King.Salmon.AP.703260_US.Normals.1991-2020.zip")</f>
        <v>https://climate.onebuilding.org/WMO_Region_4_North_and_Central_America/USA_United_States_of_America/AK_Alaska/USA_AK_King.Salmon.AP.703260_US.Normals.1991-2020.zip</v>
      </c>
    </row>
    <row r="86" spans="1:10" x14ac:dyDescent="0.25">
      <c r="A86" t="s">
        <v>35</v>
      </c>
      <c r="B86" t="s">
        <v>36</v>
      </c>
      <c r="C86" t="s">
        <v>68</v>
      </c>
      <c r="D86" s="2">
        <v>703260</v>
      </c>
      <c r="E86" t="s">
        <v>13</v>
      </c>
      <c r="F86">
        <v>58.679400000000001</v>
      </c>
      <c r="G86">
        <v>-156.6294</v>
      </c>
      <c r="H86">
        <v>-10</v>
      </c>
      <c r="I86">
        <v>19.2</v>
      </c>
      <c r="J86" t="str">
        <f>HYPERLINK("https://climate.onebuilding.org/WMO_Region_4_North_and_Central_America/USA_United_States_of_America/AK_Alaska/USA_AK_King.Salmon.AP.703260_US.Normals.2006-2020.zip")</f>
        <v>https://climate.onebuilding.org/WMO_Region_4_North_and_Central_America/USA_United_States_of_America/AK_Alaska/USA_AK_King.Salmon.AP.703260_US.Normals.2006-2020.zip</v>
      </c>
    </row>
    <row r="87" spans="1:10" x14ac:dyDescent="0.25">
      <c r="A87" t="s">
        <v>35</v>
      </c>
      <c r="B87" t="s">
        <v>36</v>
      </c>
      <c r="C87" t="s">
        <v>69</v>
      </c>
      <c r="D87" s="2">
        <v>701486</v>
      </c>
      <c r="E87" t="s">
        <v>13</v>
      </c>
      <c r="F87">
        <v>67.731700000000004</v>
      </c>
      <c r="G87">
        <v>-164.54830000000001</v>
      </c>
      <c r="H87">
        <v>-11</v>
      </c>
      <c r="I87">
        <v>3</v>
      </c>
      <c r="J87" t="str">
        <f>HYPERLINK("https://climate.onebuilding.org/WMO_Region_4_North_and_Central_America/USA_United_States_of_America/AK_Alaska/USA_AK_Kivalina.AP.701486_US.Normals.2006-2020.zip")</f>
        <v>https://climate.onebuilding.org/WMO_Region_4_North_and_Central_America/USA_United_States_of_America/AK_Alaska/USA_AK_Kivalina.AP.701486_US.Normals.2006-2020.zip</v>
      </c>
    </row>
    <row r="88" spans="1:10" x14ac:dyDescent="0.25">
      <c r="A88" t="s">
        <v>35</v>
      </c>
      <c r="B88" t="s">
        <v>36</v>
      </c>
      <c r="C88" t="s">
        <v>70</v>
      </c>
      <c r="D88" s="2">
        <v>703894</v>
      </c>
      <c r="E88" t="s">
        <v>13</v>
      </c>
      <c r="F88">
        <v>55.58</v>
      </c>
      <c r="G88">
        <v>-133.07499999999999</v>
      </c>
      <c r="H88">
        <v>-9</v>
      </c>
      <c r="I88">
        <v>3.7</v>
      </c>
      <c r="J88" t="str">
        <f>HYPERLINK("https://climate.onebuilding.org/WMO_Region_4_North_and_Central_America/USA_United_States_of_America/AK_Alaska/USA_AK_Klawock.AP.703894_US.Normals.2006-2020.zip")</f>
        <v>https://climate.onebuilding.org/WMO_Region_4_North_and_Central_America/USA_United_States_of_America/AK_Alaska/USA_AK_Klawock.AP.703894_US.Normals.2006-2020.zip</v>
      </c>
    </row>
    <row r="89" spans="1:10" x14ac:dyDescent="0.25">
      <c r="A89" t="s">
        <v>35</v>
      </c>
      <c r="B89" t="s">
        <v>36</v>
      </c>
      <c r="C89" t="s">
        <v>71</v>
      </c>
      <c r="D89" s="2">
        <v>703500</v>
      </c>
      <c r="E89" t="s">
        <v>13</v>
      </c>
      <c r="F89">
        <v>57.751100000000001</v>
      </c>
      <c r="G89">
        <v>-152.48560000000001</v>
      </c>
      <c r="H89">
        <v>-10</v>
      </c>
      <c r="I89">
        <v>24.4</v>
      </c>
      <c r="J89" t="str">
        <f>HYPERLINK("https://climate.onebuilding.org/WMO_Region_4_North_and_Central_America/USA_United_States_of_America/AK_Alaska/USA_AK_Kodiak.AP.703500_US.Normals.1981-2010.zip")</f>
        <v>https://climate.onebuilding.org/WMO_Region_4_North_and_Central_America/USA_United_States_of_America/AK_Alaska/USA_AK_Kodiak.AP.703500_US.Normals.1981-2010.zip</v>
      </c>
    </row>
    <row r="90" spans="1:10" x14ac:dyDescent="0.25">
      <c r="A90" t="s">
        <v>35</v>
      </c>
      <c r="B90" t="s">
        <v>36</v>
      </c>
      <c r="C90" t="s">
        <v>71</v>
      </c>
      <c r="D90" s="2">
        <v>703500</v>
      </c>
      <c r="E90" t="s">
        <v>13</v>
      </c>
      <c r="F90">
        <v>57.751100000000001</v>
      </c>
      <c r="G90">
        <v>-152.48560000000001</v>
      </c>
      <c r="H90">
        <v>-10</v>
      </c>
      <c r="I90">
        <v>24.4</v>
      </c>
      <c r="J90" t="str">
        <f>HYPERLINK("https://climate.onebuilding.org/WMO_Region_4_North_and_Central_America/USA_United_States_of_America/AK_Alaska/USA_AK_Kodiak.AP.703500_US.Normals.1991-2020.zip")</f>
        <v>https://climate.onebuilding.org/WMO_Region_4_North_and_Central_America/USA_United_States_of_America/AK_Alaska/USA_AK_Kodiak.AP.703500_US.Normals.1991-2020.zip</v>
      </c>
    </row>
    <row r="91" spans="1:10" x14ac:dyDescent="0.25">
      <c r="A91" t="s">
        <v>35</v>
      </c>
      <c r="B91" t="s">
        <v>36</v>
      </c>
      <c r="C91" t="s">
        <v>71</v>
      </c>
      <c r="D91" s="2">
        <v>703500</v>
      </c>
      <c r="E91" t="s">
        <v>13</v>
      </c>
      <c r="F91">
        <v>57.751100000000001</v>
      </c>
      <c r="G91">
        <v>-152.48560000000001</v>
      </c>
      <c r="H91">
        <v>-10</v>
      </c>
      <c r="I91">
        <v>24.4</v>
      </c>
      <c r="J91" t="str">
        <f>HYPERLINK("https://climate.onebuilding.org/WMO_Region_4_North_and_Central_America/USA_United_States_of_America/AK_Alaska/USA_AK_Kodiak.AP.703500_US.Normals.2006-2020.zip")</f>
        <v>https://climate.onebuilding.org/WMO_Region_4_North_and_Central_America/USA_United_States_of_America/AK_Alaska/USA_AK_Kodiak.AP.703500_US.Normals.2006-2020.zip</v>
      </c>
    </row>
    <row r="92" spans="1:10" x14ac:dyDescent="0.25">
      <c r="A92" t="s">
        <v>35</v>
      </c>
      <c r="B92" t="s">
        <v>36</v>
      </c>
      <c r="C92" t="s">
        <v>72</v>
      </c>
      <c r="D92" s="2">
        <v>701330</v>
      </c>
      <c r="E92" t="s">
        <v>13</v>
      </c>
      <c r="F92">
        <v>66.886380000000003</v>
      </c>
      <c r="G92">
        <v>-162.61330000000001</v>
      </c>
      <c r="H92">
        <v>-11</v>
      </c>
      <c r="I92">
        <v>9.1</v>
      </c>
      <c r="J92" t="str">
        <f>HYPERLINK("https://climate.onebuilding.org/WMO_Region_4_North_and_Central_America/USA_United_States_of_America/AK_Alaska/USA_AK_Kotzebue-Wien.Meml.AP.701330_US.Normals.1981-2010.zip")</f>
        <v>https://climate.onebuilding.org/WMO_Region_4_North_and_Central_America/USA_United_States_of_America/AK_Alaska/USA_AK_Kotzebue-Wien.Meml.AP.701330_US.Normals.1981-2010.zip</v>
      </c>
    </row>
    <row r="93" spans="1:10" x14ac:dyDescent="0.25">
      <c r="A93" t="s">
        <v>35</v>
      </c>
      <c r="B93" t="s">
        <v>36</v>
      </c>
      <c r="C93" t="s">
        <v>72</v>
      </c>
      <c r="D93" s="2">
        <v>701330</v>
      </c>
      <c r="E93" t="s">
        <v>13</v>
      </c>
      <c r="F93">
        <v>66.886380000000003</v>
      </c>
      <c r="G93">
        <v>-162.61330000000001</v>
      </c>
      <c r="H93">
        <v>-11</v>
      </c>
      <c r="I93">
        <v>9.1</v>
      </c>
      <c r="J93" t="str">
        <f>HYPERLINK("https://climate.onebuilding.org/WMO_Region_4_North_and_Central_America/USA_United_States_of_America/AK_Alaska/USA_AK_Kotzebue-Wien.Meml.AP.701330_US.Normals.1991-2020.zip")</f>
        <v>https://climate.onebuilding.org/WMO_Region_4_North_and_Central_America/USA_United_States_of_America/AK_Alaska/USA_AK_Kotzebue-Wien.Meml.AP.701330_US.Normals.1991-2020.zip</v>
      </c>
    </row>
    <row r="94" spans="1:10" x14ac:dyDescent="0.25">
      <c r="A94" t="s">
        <v>35</v>
      </c>
      <c r="B94" t="s">
        <v>36</v>
      </c>
      <c r="C94" t="s">
        <v>72</v>
      </c>
      <c r="D94" s="2">
        <v>701330</v>
      </c>
      <c r="E94" t="s">
        <v>13</v>
      </c>
      <c r="F94">
        <v>66.886380000000003</v>
      </c>
      <c r="G94">
        <v>-162.61330000000001</v>
      </c>
      <c r="H94">
        <v>-11</v>
      </c>
      <c r="I94">
        <v>9.1</v>
      </c>
      <c r="J94" t="str">
        <f>HYPERLINK("https://climate.onebuilding.org/WMO_Region_4_North_and_Central_America/USA_United_States_of_America/AK_Alaska/USA_AK_Kotzebue-Wien.Meml.AP.701330_US.Normals.2006-2020.zip")</f>
        <v>https://climate.onebuilding.org/WMO_Region_4_North_and_Central_America/USA_United_States_of_America/AK_Alaska/USA_AK_Kotzebue-Wien.Meml.AP.701330_US.Normals.2006-2020.zip</v>
      </c>
    </row>
    <row r="95" spans="1:10" x14ac:dyDescent="0.25">
      <c r="A95" t="s">
        <v>35</v>
      </c>
      <c r="B95" t="s">
        <v>36</v>
      </c>
      <c r="C95" t="s">
        <v>73</v>
      </c>
      <c r="D95" s="2">
        <v>702310</v>
      </c>
      <c r="E95" t="s">
        <v>13</v>
      </c>
      <c r="F95">
        <v>62.957500000000003</v>
      </c>
      <c r="G95">
        <v>-155.6103</v>
      </c>
      <c r="H95">
        <v>-10</v>
      </c>
      <c r="I95">
        <v>101.5</v>
      </c>
      <c r="J95" t="str">
        <f>HYPERLINK("https://climate.onebuilding.org/WMO_Region_4_North_and_Central_America/USA_United_States_of_America/AK_Alaska/USA_AK_McGrath.AP.702310_US.Normals.1981-2010.zip")</f>
        <v>https://climate.onebuilding.org/WMO_Region_4_North_and_Central_America/USA_United_States_of_America/AK_Alaska/USA_AK_McGrath.AP.702310_US.Normals.1981-2010.zip</v>
      </c>
    </row>
    <row r="96" spans="1:10" x14ac:dyDescent="0.25">
      <c r="A96" t="s">
        <v>35</v>
      </c>
      <c r="B96" t="s">
        <v>36</v>
      </c>
      <c r="C96" t="s">
        <v>73</v>
      </c>
      <c r="D96" s="2">
        <v>702310</v>
      </c>
      <c r="E96" t="s">
        <v>13</v>
      </c>
      <c r="F96">
        <v>62.957500000000003</v>
      </c>
      <c r="G96">
        <v>-155.6103</v>
      </c>
      <c r="H96">
        <v>-10</v>
      </c>
      <c r="I96">
        <v>101.5</v>
      </c>
      <c r="J96" t="str">
        <f>HYPERLINK("https://climate.onebuilding.org/WMO_Region_4_North_and_Central_America/USA_United_States_of_America/AK_Alaska/USA_AK_McGrath.AP.702310_US.Normals.1991-2020.zip")</f>
        <v>https://climate.onebuilding.org/WMO_Region_4_North_and_Central_America/USA_United_States_of_America/AK_Alaska/USA_AK_McGrath.AP.702310_US.Normals.1991-2020.zip</v>
      </c>
    </row>
    <row r="97" spans="1:10" x14ac:dyDescent="0.25">
      <c r="A97" t="s">
        <v>35</v>
      </c>
      <c r="B97" t="s">
        <v>36</v>
      </c>
      <c r="C97" t="s">
        <v>73</v>
      </c>
      <c r="D97" s="2">
        <v>702310</v>
      </c>
      <c r="E97" t="s">
        <v>13</v>
      </c>
      <c r="F97">
        <v>62.957500000000003</v>
      </c>
      <c r="G97">
        <v>-155.6103</v>
      </c>
      <c r="H97">
        <v>-10</v>
      </c>
      <c r="I97">
        <v>101.5</v>
      </c>
      <c r="J97" t="str">
        <f>HYPERLINK("https://climate.onebuilding.org/WMO_Region_4_North_and_Central_America/USA_United_States_of_America/AK_Alaska/USA_AK_McGrath.AP.702310_US.Normals.2006-2020.zip")</f>
        <v>https://climate.onebuilding.org/WMO_Region_4_North_and_Central_America/USA_United_States_of_America/AK_Alaska/USA_AK_McGrath.AP.702310_US.Normals.2006-2020.zip</v>
      </c>
    </row>
    <row r="98" spans="1:10" x14ac:dyDescent="0.25">
      <c r="A98" t="s">
        <v>35</v>
      </c>
      <c r="B98" t="s">
        <v>36</v>
      </c>
      <c r="C98" t="s">
        <v>74</v>
      </c>
      <c r="D98" s="2">
        <v>703430</v>
      </c>
      <c r="E98" t="s">
        <v>13</v>
      </c>
      <c r="F98">
        <v>59.433329999999998</v>
      </c>
      <c r="G98">
        <v>-146.33330000000001</v>
      </c>
      <c r="H98">
        <v>-10</v>
      </c>
      <c r="I98">
        <v>14</v>
      </c>
      <c r="J98" t="str">
        <f>HYPERLINK("https://climate.onebuilding.org/WMO_Region_4_North_and_Central_America/USA_United_States_of_America/AK_Alaska/USA_AK_Middleton.Island.AP.703430_US.Normals.2006-2020.zip")</f>
        <v>https://climate.onebuilding.org/WMO_Region_4_North_and_Central_America/USA_United_States_of_America/AK_Alaska/USA_AK_Middleton.Island.AP.703430_US.Normals.2006-2020.zip</v>
      </c>
    </row>
    <row r="99" spans="1:10" x14ac:dyDescent="0.25">
      <c r="A99" t="s">
        <v>35</v>
      </c>
      <c r="B99" t="s">
        <v>36</v>
      </c>
      <c r="C99" t="s">
        <v>75</v>
      </c>
      <c r="D99" s="2">
        <v>704540</v>
      </c>
      <c r="E99" t="s">
        <v>13</v>
      </c>
      <c r="F99">
        <v>51.883299999999998</v>
      </c>
      <c r="G99">
        <v>-176.65</v>
      </c>
      <c r="H99">
        <v>-12</v>
      </c>
      <c r="I99">
        <v>5.2</v>
      </c>
      <c r="J99" t="str">
        <f>HYPERLINK("https://climate.onebuilding.org/WMO_Region_4_North_and_Central_America/USA_United_States_of_America/AK_Alaska/USA_AK_NAS.Adak.704540_US.Normals.2006-2020.zip")</f>
        <v>https://climate.onebuilding.org/WMO_Region_4_North_and_Central_America/USA_United_States_of_America/AK_Alaska/USA_AK_NAS.Adak.704540_US.Normals.2006-2020.zip</v>
      </c>
    </row>
    <row r="100" spans="1:10" x14ac:dyDescent="0.25">
      <c r="A100" t="s">
        <v>35</v>
      </c>
      <c r="B100" t="s">
        <v>36</v>
      </c>
      <c r="C100" t="s">
        <v>76</v>
      </c>
      <c r="D100" s="2">
        <v>702000</v>
      </c>
      <c r="E100" t="s">
        <v>13</v>
      </c>
      <c r="F100">
        <v>64.511099999999999</v>
      </c>
      <c r="G100">
        <v>-165.44</v>
      </c>
      <c r="H100">
        <v>-11</v>
      </c>
      <c r="I100">
        <v>4</v>
      </c>
      <c r="J100" t="str">
        <f>HYPERLINK("https://climate.onebuilding.org/WMO_Region_4_North_and_Central_America/USA_United_States_of_America/AK_Alaska/USA_AK_Nome.AP.702000_US.Normals.1981-2010.zip")</f>
        <v>https://climate.onebuilding.org/WMO_Region_4_North_and_Central_America/USA_United_States_of_America/AK_Alaska/USA_AK_Nome.AP.702000_US.Normals.1981-2010.zip</v>
      </c>
    </row>
    <row r="101" spans="1:10" x14ac:dyDescent="0.25">
      <c r="A101" t="s">
        <v>35</v>
      </c>
      <c r="B101" t="s">
        <v>36</v>
      </c>
      <c r="C101" t="s">
        <v>76</v>
      </c>
      <c r="D101" s="2">
        <v>702000</v>
      </c>
      <c r="E101" t="s">
        <v>13</v>
      </c>
      <c r="F101">
        <v>64.511099999999999</v>
      </c>
      <c r="G101">
        <v>-165.44</v>
      </c>
      <c r="H101">
        <v>-11</v>
      </c>
      <c r="I101">
        <v>4</v>
      </c>
      <c r="J101" t="str">
        <f>HYPERLINK("https://climate.onebuilding.org/WMO_Region_4_North_and_Central_America/USA_United_States_of_America/AK_Alaska/USA_AK_Nome.AP.702000_US.Normals.1991-2020.zip")</f>
        <v>https://climate.onebuilding.org/WMO_Region_4_North_and_Central_America/USA_United_States_of_America/AK_Alaska/USA_AK_Nome.AP.702000_US.Normals.1991-2020.zip</v>
      </c>
    </row>
    <row r="102" spans="1:10" x14ac:dyDescent="0.25">
      <c r="A102" t="s">
        <v>35</v>
      </c>
      <c r="B102" t="s">
        <v>36</v>
      </c>
      <c r="C102" t="s">
        <v>76</v>
      </c>
      <c r="D102" s="2">
        <v>702000</v>
      </c>
      <c r="E102" t="s">
        <v>13</v>
      </c>
      <c r="F102">
        <v>64.511099999999999</v>
      </c>
      <c r="G102">
        <v>-165.44</v>
      </c>
      <c r="H102">
        <v>-11</v>
      </c>
      <c r="I102">
        <v>4</v>
      </c>
      <c r="J102" t="str">
        <f>HYPERLINK("https://climate.onebuilding.org/WMO_Region_4_North_and_Central_America/USA_United_States_of_America/AK_Alaska/USA_AK_Nome.AP.702000_US.Normals.2006-2020.zip")</f>
        <v>https://climate.onebuilding.org/WMO_Region_4_North_and_Central_America/USA_United_States_of_America/AK_Alaska/USA_AK_Nome.AP.702000_US.Normals.2006-2020.zip</v>
      </c>
    </row>
    <row r="103" spans="1:10" x14ac:dyDescent="0.25">
      <c r="A103" t="s">
        <v>35</v>
      </c>
      <c r="B103" t="s">
        <v>36</v>
      </c>
      <c r="C103" t="s">
        <v>77</v>
      </c>
      <c r="D103" s="2">
        <v>702910</v>
      </c>
      <c r="E103" t="s">
        <v>13</v>
      </c>
      <c r="F103">
        <v>62.961399999999998</v>
      </c>
      <c r="G103">
        <v>-141.92920000000001</v>
      </c>
      <c r="H103">
        <v>-9</v>
      </c>
      <c r="I103">
        <v>522.1</v>
      </c>
      <c r="J103" t="str">
        <f>HYPERLINK("https://climate.onebuilding.org/WMO_Region_4_North_and_Central_America/USA_United_States_of_America/AK_Alaska/USA_AK_Northway.AP.702910_US.Normals.1981-2010.zip")</f>
        <v>https://climate.onebuilding.org/WMO_Region_4_North_and_Central_America/USA_United_States_of_America/AK_Alaska/USA_AK_Northway.AP.702910_US.Normals.1981-2010.zip</v>
      </c>
    </row>
    <row r="104" spans="1:10" x14ac:dyDescent="0.25">
      <c r="A104" t="s">
        <v>35</v>
      </c>
      <c r="B104" t="s">
        <v>36</v>
      </c>
      <c r="C104" t="s">
        <v>77</v>
      </c>
      <c r="D104" s="2">
        <v>702910</v>
      </c>
      <c r="E104" t="s">
        <v>13</v>
      </c>
      <c r="F104">
        <v>62.961399999999998</v>
      </c>
      <c r="G104">
        <v>-141.92920000000001</v>
      </c>
      <c r="H104">
        <v>-9</v>
      </c>
      <c r="I104">
        <v>522.1</v>
      </c>
      <c r="J104" t="str">
        <f>HYPERLINK("https://climate.onebuilding.org/WMO_Region_4_North_and_Central_America/USA_United_States_of_America/AK_Alaska/USA_AK_Northway.AP.702910_US.Normals.1991-2020.zip")</f>
        <v>https://climate.onebuilding.org/WMO_Region_4_North_and_Central_America/USA_United_States_of_America/AK_Alaska/USA_AK_Northway.AP.702910_US.Normals.1991-2020.zip</v>
      </c>
    </row>
    <row r="105" spans="1:10" x14ac:dyDescent="0.25">
      <c r="A105" t="s">
        <v>35</v>
      </c>
      <c r="B105" t="s">
        <v>36</v>
      </c>
      <c r="C105" t="s">
        <v>77</v>
      </c>
      <c r="D105" s="2">
        <v>702910</v>
      </c>
      <c r="E105" t="s">
        <v>13</v>
      </c>
      <c r="F105">
        <v>62.961399999999998</v>
      </c>
      <c r="G105">
        <v>-141.92920000000001</v>
      </c>
      <c r="H105">
        <v>-9</v>
      </c>
      <c r="I105">
        <v>522.1</v>
      </c>
      <c r="J105" t="str">
        <f>HYPERLINK("https://climate.onebuilding.org/WMO_Region_4_North_and_Central_America/USA_United_States_of_America/AK_Alaska/USA_AK_Northway.AP.702910_US.Normals.2006-2020.zip")</f>
        <v>https://climate.onebuilding.org/WMO_Region_4_North_and_Central_America/USA_United_States_of_America/AK_Alaska/USA_AK_Northway.AP.702910_US.Normals.2006-2020.zip</v>
      </c>
    </row>
    <row r="106" spans="1:10" x14ac:dyDescent="0.25">
      <c r="A106" t="s">
        <v>35</v>
      </c>
      <c r="B106" t="s">
        <v>36</v>
      </c>
      <c r="C106" t="s">
        <v>78</v>
      </c>
      <c r="D106" s="2">
        <v>703644</v>
      </c>
      <c r="E106" t="s">
        <v>13</v>
      </c>
      <c r="F106">
        <v>70.211699999999993</v>
      </c>
      <c r="G106">
        <v>-151.0017</v>
      </c>
      <c r="H106">
        <v>-10</v>
      </c>
      <c r="I106">
        <v>17.399999999999999</v>
      </c>
      <c r="J106" t="str">
        <f>HYPERLINK("https://climate.onebuilding.org/WMO_Region_4_North_and_Central_America/USA_United_States_of_America/AK_Alaska/USA_AK_Nuiqsut.AP.703644_US.Normals.2006-2020.zip")</f>
        <v>https://climate.onebuilding.org/WMO_Region_4_North_and_Central_America/USA_United_States_of_America/AK_Alaska/USA_AK_Nuiqsut.AP.703644_US.Normals.2006-2020.zip</v>
      </c>
    </row>
    <row r="107" spans="1:10" x14ac:dyDescent="0.25">
      <c r="A107" t="s">
        <v>35</v>
      </c>
      <c r="B107" t="s">
        <v>36</v>
      </c>
      <c r="C107" t="s">
        <v>79</v>
      </c>
      <c r="D107" s="2">
        <v>702740</v>
      </c>
      <c r="E107" t="s">
        <v>13</v>
      </c>
      <c r="F107">
        <v>61.5961</v>
      </c>
      <c r="G107">
        <v>-149.0917</v>
      </c>
      <c r="H107">
        <v>-10</v>
      </c>
      <c r="I107">
        <v>70.099999999999994</v>
      </c>
      <c r="J107" t="str">
        <f>HYPERLINK("https://climate.onebuilding.org/WMO_Region_4_North_and_Central_America/USA_United_States_of_America/AK_Alaska/USA_AK_Palmer.Muni.AP.702740_US.Normals.2006-2020.zip")</f>
        <v>https://climate.onebuilding.org/WMO_Region_4_North_and_Central_America/USA_United_States_of_America/AK_Alaska/USA_AK_Palmer.Muni.AP.702740_US.Normals.2006-2020.zip</v>
      </c>
    </row>
    <row r="108" spans="1:10" x14ac:dyDescent="0.25">
      <c r="A108" t="s">
        <v>35</v>
      </c>
      <c r="B108" t="s">
        <v>36</v>
      </c>
      <c r="C108" t="s">
        <v>80</v>
      </c>
      <c r="D108" s="2">
        <v>703860</v>
      </c>
      <c r="E108" t="s">
        <v>13</v>
      </c>
      <c r="F108">
        <v>56.805599999999998</v>
      </c>
      <c r="G108">
        <v>-132.93719999999999</v>
      </c>
      <c r="H108">
        <v>-9</v>
      </c>
      <c r="I108">
        <v>32.6</v>
      </c>
      <c r="J108" t="str">
        <f>HYPERLINK("https://climate.onebuilding.org/WMO_Region_4_North_and_Central_America/USA_United_States_of_America/AK_Alaska/USA_AK_Petersburg.Johnson.AP.703860_US.Normals.2006-2020.zip")</f>
        <v>https://climate.onebuilding.org/WMO_Region_4_North_and_Central_America/USA_United_States_of_America/AK_Alaska/USA_AK_Petersburg.Johnson.AP.703860_US.Normals.2006-2020.zip</v>
      </c>
    </row>
    <row r="109" spans="1:10" x14ac:dyDescent="0.25">
      <c r="A109" t="s">
        <v>35</v>
      </c>
      <c r="B109" t="s">
        <v>36</v>
      </c>
      <c r="C109" t="s">
        <v>81</v>
      </c>
      <c r="D109" s="2">
        <v>703330</v>
      </c>
      <c r="E109" t="s">
        <v>13</v>
      </c>
      <c r="F109">
        <v>56.95</v>
      </c>
      <c r="G109">
        <v>-158.61670000000001</v>
      </c>
      <c r="H109">
        <v>-11</v>
      </c>
      <c r="I109">
        <v>28</v>
      </c>
      <c r="J109" t="str">
        <f>HYPERLINK("https://climate.onebuilding.org/WMO_Region_4_North_and_Central_America/USA_United_States_of_America/AK_Alaska/USA_AK_Port.Heiden.AP.703330_US.Normals.2006-2020.zip")</f>
        <v>https://climate.onebuilding.org/WMO_Region_4_North_and_Central_America/USA_United_States_of_America/AK_Alaska/USA_AK_Port.Heiden.AP.703330_US.Normals.2006-2020.zip</v>
      </c>
    </row>
    <row r="110" spans="1:10" x14ac:dyDescent="0.25">
      <c r="A110" t="s">
        <v>35</v>
      </c>
      <c r="B110" t="s">
        <v>36</v>
      </c>
      <c r="C110" t="s">
        <v>82</v>
      </c>
      <c r="D110" s="2">
        <v>700001</v>
      </c>
      <c r="E110" t="s">
        <v>13</v>
      </c>
      <c r="F110">
        <v>60.784999999999997</v>
      </c>
      <c r="G110">
        <v>-148.8389</v>
      </c>
      <c r="H110">
        <v>-10</v>
      </c>
      <c r="I110">
        <v>31.4</v>
      </c>
      <c r="J110" t="str">
        <f>HYPERLINK("https://climate.onebuilding.org/WMO_Region_4_North_and_Central_America/USA_United_States_of_America/AK_Alaska/USA_AK_Portage.Glacier.700001_US.Normals.2006-2020.zip")</f>
        <v>https://climate.onebuilding.org/WMO_Region_4_North_and_Central_America/USA_United_States_of_America/AK_Alaska/USA_AK_Portage.Glacier.700001_US.Normals.2006-2020.zip</v>
      </c>
    </row>
    <row r="111" spans="1:10" x14ac:dyDescent="0.25">
      <c r="A111" t="s">
        <v>35</v>
      </c>
      <c r="B111" t="s">
        <v>36</v>
      </c>
      <c r="C111" t="s">
        <v>83</v>
      </c>
      <c r="D111" s="2">
        <v>703621</v>
      </c>
      <c r="E111" t="s">
        <v>13</v>
      </c>
      <c r="F111">
        <v>59.443300000000001</v>
      </c>
      <c r="G111">
        <v>-151.70169999999999</v>
      </c>
      <c r="H111">
        <v>-10</v>
      </c>
      <c r="I111">
        <v>8.8000000000000007</v>
      </c>
      <c r="J111" t="str">
        <f>HYPERLINK("https://climate.onebuilding.org/WMO_Region_4_North_and_Central_America/USA_United_States_of_America/AK_Alaska/USA_AK_Seldovia.AP.703621_US.Normals.2006-2020.zip")</f>
        <v>https://climate.onebuilding.org/WMO_Region_4_North_and_Central_America/USA_United_States_of_America/AK_Alaska/USA_AK_Seldovia.AP.703621_US.Normals.2006-2020.zip</v>
      </c>
    </row>
    <row r="112" spans="1:10" x14ac:dyDescent="0.25">
      <c r="A112" t="s">
        <v>35</v>
      </c>
      <c r="B112" t="s">
        <v>36</v>
      </c>
      <c r="C112" t="s">
        <v>84</v>
      </c>
      <c r="D112" s="2">
        <v>702770</v>
      </c>
      <c r="E112" t="s">
        <v>13</v>
      </c>
      <c r="F112">
        <v>60.128300000000003</v>
      </c>
      <c r="G112">
        <v>-149.41669999999999</v>
      </c>
      <c r="H112">
        <v>-10</v>
      </c>
      <c r="I112">
        <v>6.7</v>
      </c>
      <c r="J112" t="str">
        <f>HYPERLINK("https://climate.onebuilding.org/WMO_Region_4_North_and_Central_America/USA_United_States_of_America/AK_Alaska/USA_AK_Seward.AP.702770_US.Normals.2006-2020.zip")</f>
        <v>https://climate.onebuilding.org/WMO_Region_4_North_and_Central_America/USA_United_States_of_America/AK_Alaska/USA_AK_Seward.AP.702770_US.Normals.2006-2020.zip</v>
      </c>
    </row>
    <row r="113" spans="1:10" x14ac:dyDescent="0.25">
      <c r="A113" t="s">
        <v>35</v>
      </c>
      <c r="B113" t="s">
        <v>36</v>
      </c>
      <c r="C113" t="s">
        <v>85</v>
      </c>
      <c r="D113" s="2">
        <v>703730</v>
      </c>
      <c r="E113" t="s">
        <v>13</v>
      </c>
      <c r="F113">
        <v>57.057499999999997</v>
      </c>
      <c r="G113">
        <v>-135.32669999999999</v>
      </c>
      <c r="H113">
        <v>-9</v>
      </c>
      <c r="I113">
        <v>23.8</v>
      </c>
      <c r="J113" t="str">
        <f>HYPERLINK("https://climate.onebuilding.org/WMO_Region_4_North_and_Central_America/USA_United_States_of_America/AK_Alaska/USA_AK_Sitka.1.NE.703730_US.Normals.2006-2020.zip")</f>
        <v>https://climate.onebuilding.org/WMO_Region_4_North_and_Central_America/USA_United_States_of_America/AK_Alaska/USA_AK_Sitka.1.NE.703730_US.Normals.2006-2020.zip</v>
      </c>
    </row>
    <row r="114" spans="1:10" x14ac:dyDescent="0.25">
      <c r="A114" t="s">
        <v>35</v>
      </c>
      <c r="B114" t="s">
        <v>36</v>
      </c>
      <c r="C114" t="s">
        <v>86</v>
      </c>
      <c r="D114" s="2">
        <v>703710</v>
      </c>
      <c r="E114" t="s">
        <v>13</v>
      </c>
      <c r="F114">
        <v>57.048099999999998</v>
      </c>
      <c r="G114">
        <v>-135.3647</v>
      </c>
      <c r="H114">
        <v>-9</v>
      </c>
      <c r="I114">
        <v>4.3</v>
      </c>
      <c r="J114" t="str">
        <f>HYPERLINK("https://climate.onebuilding.org/WMO_Region_4_North_and_Central_America/USA_United_States_of_America/AK_Alaska/USA_AK_Sitka.Gutierrez.AP.703710_US.Normals.1981-2010.zip")</f>
        <v>https://climate.onebuilding.org/WMO_Region_4_North_and_Central_America/USA_United_States_of_America/AK_Alaska/USA_AK_Sitka.Gutierrez.AP.703710_US.Normals.1981-2010.zip</v>
      </c>
    </row>
    <row r="115" spans="1:10" x14ac:dyDescent="0.25">
      <c r="A115" t="s">
        <v>35</v>
      </c>
      <c r="B115" t="s">
        <v>36</v>
      </c>
      <c r="C115" t="s">
        <v>86</v>
      </c>
      <c r="D115" s="2">
        <v>703710</v>
      </c>
      <c r="E115" t="s">
        <v>13</v>
      </c>
      <c r="F115">
        <v>57.048099999999998</v>
      </c>
      <c r="G115">
        <v>-135.3647</v>
      </c>
      <c r="H115">
        <v>-9</v>
      </c>
      <c r="I115">
        <v>4.3</v>
      </c>
      <c r="J115" t="str">
        <f>HYPERLINK("https://climate.onebuilding.org/WMO_Region_4_North_and_Central_America/USA_United_States_of_America/AK_Alaska/USA_AK_Sitka.Gutierrez.AP.703710_US.Normals.1991-2020.zip")</f>
        <v>https://climate.onebuilding.org/WMO_Region_4_North_and_Central_America/USA_United_States_of_America/AK_Alaska/USA_AK_Sitka.Gutierrez.AP.703710_US.Normals.1991-2020.zip</v>
      </c>
    </row>
    <row r="116" spans="1:10" x14ac:dyDescent="0.25">
      <c r="A116" t="s">
        <v>35</v>
      </c>
      <c r="B116" t="s">
        <v>36</v>
      </c>
      <c r="C116" t="s">
        <v>86</v>
      </c>
      <c r="D116" s="2">
        <v>703710</v>
      </c>
      <c r="E116" t="s">
        <v>13</v>
      </c>
      <c r="F116">
        <v>57.048099999999998</v>
      </c>
      <c r="G116">
        <v>-135.3647</v>
      </c>
      <c r="H116">
        <v>-9</v>
      </c>
      <c r="I116">
        <v>4.3</v>
      </c>
      <c r="J116" t="str">
        <f>HYPERLINK("https://climate.onebuilding.org/WMO_Region_4_North_and_Central_America/USA_United_States_of_America/AK_Alaska/USA_AK_Sitka.Gutierrez.AP.703710_US.Normals.2006-2020.zip")</f>
        <v>https://climate.onebuilding.org/WMO_Region_4_North_and_Central_America/USA_United_States_of_America/AK_Alaska/USA_AK_Sitka.Gutierrez.AP.703710_US.Normals.2006-2020.zip</v>
      </c>
    </row>
    <row r="117" spans="1:10" x14ac:dyDescent="0.25">
      <c r="A117" t="s">
        <v>35</v>
      </c>
      <c r="B117" t="s">
        <v>36</v>
      </c>
      <c r="C117" t="s">
        <v>87</v>
      </c>
      <c r="D117" s="2">
        <v>703620</v>
      </c>
      <c r="E117" t="s">
        <v>13</v>
      </c>
      <c r="F117">
        <v>59.455599999999997</v>
      </c>
      <c r="G117">
        <v>-135.32390000000001</v>
      </c>
      <c r="H117">
        <v>-9</v>
      </c>
      <c r="I117">
        <v>6.1</v>
      </c>
      <c r="J117" t="str">
        <f>HYPERLINK("https://climate.onebuilding.org/WMO_Region_4_North_and_Central_America/USA_United_States_of_America/AK_Alaska/USA_AK_Skagway.AP.703620_US.Normals.2006-2020.zip")</f>
        <v>https://climate.onebuilding.org/WMO_Region_4_North_and_Central_America/USA_United_States_of_America/AK_Alaska/USA_AK_Skagway.AP.703620_US.Normals.2006-2020.zip</v>
      </c>
    </row>
    <row r="118" spans="1:10" x14ac:dyDescent="0.25">
      <c r="A118" t="s">
        <v>35</v>
      </c>
      <c r="B118" t="s">
        <v>36</v>
      </c>
      <c r="C118" t="s">
        <v>88</v>
      </c>
      <c r="D118" s="2">
        <v>702350</v>
      </c>
      <c r="E118" t="s">
        <v>13</v>
      </c>
      <c r="F118">
        <v>61.1</v>
      </c>
      <c r="G118">
        <v>-155.58330000000001</v>
      </c>
      <c r="H118">
        <v>-10</v>
      </c>
      <c r="I118">
        <v>484</v>
      </c>
      <c r="J118" t="str">
        <f>HYPERLINK("https://climate.onebuilding.org/WMO_Region_4_North_and_Central_America/USA_United_States_of_America/AK_Alaska/USA_AK_Sparrevohn.LRRS.AP.702350_US.Normals.2006-2020.zip")</f>
        <v>https://climate.onebuilding.org/WMO_Region_4_North_and_Central_America/USA_United_States_of_America/AK_Alaska/USA_AK_Sparrevohn.LRRS.AP.702350_US.Normals.2006-2020.zip</v>
      </c>
    </row>
    <row r="119" spans="1:10" x14ac:dyDescent="0.25">
      <c r="A119" t="s">
        <v>35</v>
      </c>
      <c r="B119" t="s">
        <v>36</v>
      </c>
      <c r="C119" t="s">
        <v>89</v>
      </c>
      <c r="D119" s="2">
        <v>703835</v>
      </c>
      <c r="E119" t="s">
        <v>13</v>
      </c>
      <c r="F119">
        <v>56.6</v>
      </c>
      <c r="G119">
        <v>-169.565</v>
      </c>
      <c r="H119">
        <v>-11</v>
      </c>
      <c r="I119">
        <v>38.1</v>
      </c>
      <c r="J119" t="str">
        <f>HYPERLINK("https://climate.onebuilding.org/WMO_Region_4_North_and_Central_America/USA_United_States_of_America/AK_Alaska/USA_AK_St.George.Island.703835_US.Normals.2006-2020.zip")</f>
        <v>https://climate.onebuilding.org/WMO_Region_4_North_and_Central_America/USA_United_States_of_America/AK_Alaska/USA_AK_St.George.Island.703835_US.Normals.2006-2020.zip</v>
      </c>
    </row>
    <row r="120" spans="1:10" x14ac:dyDescent="0.25">
      <c r="A120" t="s">
        <v>35</v>
      </c>
      <c r="B120" t="s">
        <v>36</v>
      </c>
      <c r="C120" t="s">
        <v>90</v>
      </c>
      <c r="D120" s="2">
        <v>703090</v>
      </c>
      <c r="E120" t="s">
        <v>13</v>
      </c>
      <c r="F120">
        <v>57.157499999999999</v>
      </c>
      <c r="G120">
        <v>-170.21190000000001</v>
      </c>
      <c r="H120">
        <v>-11</v>
      </c>
      <c r="I120">
        <v>6.1</v>
      </c>
      <c r="J120" t="str">
        <f>HYPERLINK("https://climate.onebuilding.org/WMO_Region_4_North_and_Central_America/USA_United_States_of_America/AK_Alaska/USA_AK_St.Paul.Island.703090_US.Normals.2006-2020.zip")</f>
        <v>https://climate.onebuilding.org/WMO_Region_4_North_and_Central_America/USA_United_States_of_America/AK_Alaska/USA_AK_St.Paul.Island.703090_US.Normals.2006-2020.zip</v>
      </c>
    </row>
    <row r="121" spans="1:10" x14ac:dyDescent="0.25">
      <c r="A121" t="s">
        <v>35</v>
      </c>
      <c r="B121" t="s">
        <v>36</v>
      </c>
      <c r="C121" t="s">
        <v>91</v>
      </c>
      <c r="D121" s="2">
        <v>703080</v>
      </c>
      <c r="E121" t="s">
        <v>13</v>
      </c>
      <c r="F121">
        <v>57.155299999999997</v>
      </c>
      <c r="G121">
        <v>-170.22219999999999</v>
      </c>
      <c r="H121">
        <v>-11</v>
      </c>
      <c r="I121">
        <v>10.7</v>
      </c>
      <c r="J121" t="str">
        <f>HYPERLINK("https://climate.onebuilding.org/WMO_Region_4_North_and_Central_America/USA_United_States_of_America/AK_Alaska/USA_AK_St.Paul.Island.AP.703080_US.Normals.1981-2010.zip")</f>
        <v>https://climate.onebuilding.org/WMO_Region_4_North_and_Central_America/USA_United_States_of_America/AK_Alaska/USA_AK_St.Paul.Island.AP.703080_US.Normals.1981-2010.zip</v>
      </c>
    </row>
    <row r="122" spans="1:10" x14ac:dyDescent="0.25">
      <c r="A122" t="s">
        <v>35</v>
      </c>
      <c r="B122" t="s">
        <v>36</v>
      </c>
      <c r="C122" t="s">
        <v>91</v>
      </c>
      <c r="D122" s="2">
        <v>703080</v>
      </c>
      <c r="E122" t="s">
        <v>13</v>
      </c>
      <c r="F122">
        <v>57.155299999999997</v>
      </c>
      <c r="G122">
        <v>-170.22219999999999</v>
      </c>
      <c r="H122">
        <v>-11</v>
      </c>
      <c r="I122">
        <v>10.7</v>
      </c>
      <c r="J122" t="str">
        <f>HYPERLINK("https://climate.onebuilding.org/WMO_Region_4_North_and_Central_America/USA_United_States_of_America/AK_Alaska/USA_AK_St.Paul.Island.AP.703080_US.Normals.1991-2020.zip")</f>
        <v>https://climate.onebuilding.org/WMO_Region_4_North_and_Central_America/USA_United_States_of_America/AK_Alaska/USA_AK_St.Paul.Island.AP.703080_US.Normals.1991-2020.zip</v>
      </c>
    </row>
    <row r="123" spans="1:10" x14ac:dyDescent="0.25">
      <c r="A123" t="s">
        <v>35</v>
      </c>
      <c r="B123" t="s">
        <v>36</v>
      </c>
      <c r="C123" t="s">
        <v>91</v>
      </c>
      <c r="D123" s="2">
        <v>703080</v>
      </c>
      <c r="E123" t="s">
        <v>13</v>
      </c>
      <c r="F123">
        <v>57.155299999999997</v>
      </c>
      <c r="G123">
        <v>-170.22219999999999</v>
      </c>
      <c r="H123">
        <v>-11</v>
      </c>
      <c r="I123">
        <v>10.7</v>
      </c>
      <c r="J123" t="str">
        <f>HYPERLINK("https://climate.onebuilding.org/WMO_Region_4_North_and_Central_America/USA_United_States_of_America/AK_Alaska/USA_AK_St.Paul.Island.AP.703080_US.Normals.2006-2020.zip")</f>
        <v>https://climate.onebuilding.org/WMO_Region_4_North_and_Central_America/USA_United_States_of_America/AK_Alaska/USA_AK_St.Paul.Island.AP.703080_US.Normals.2006-2020.zip</v>
      </c>
    </row>
    <row r="124" spans="1:10" x14ac:dyDescent="0.25">
      <c r="A124" t="s">
        <v>35</v>
      </c>
      <c r="B124" t="s">
        <v>36</v>
      </c>
      <c r="C124" t="s">
        <v>92</v>
      </c>
      <c r="D124" s="2">
        <v>702510</v>
      </c>
      <c r="E124" t="s">
        <v>13</v>
      </c>
      <c r="F124">
        <v>62.32</v>
      </c>
      <c r="G124">
        <v>-150.095</v>
      </c>
      <c r="H124">
        <v>-10</v>
      </c>
      <c r="I124">
        <v>106.7</v>
      </c>
      <c r="J124" t="str">
        <f>HYPERLINK("https://climate.onebuilding.org/WMO_Region_4_North_and_Central_America/USA_United_States_of_America/AK_Alaska/USA_AK_Talkeetna.AP.702510_US.Normals.1991-2020.zip")</f>
        <v>https://climate.onebuilding.org/WMO_Region_4_North_and_Central_America/USA_United_States_of_America/AK_Alaska/USA_AK_Talkeetna.AP.702510_US.Normals.1991-2020.zip</v>
      </c>
    </row>
    <row r="125" spans="1:10" x14ac:dyDescent="0.25">
      <c r="A125" t="s">
        <v>35</v>
      </c>
      <c r="B125" t="s">
        <v>36</v>
      </c>
      <c r="C125" t="s">
        <v>92</v>
      </c>
      <c r="D125" s="2">
        <v>702510</v>
      </c>
      <c r="E125" t="s">
        <v>13</v>
      </c>
      <c r="F125">
        <v>62.32</v>
      </c>
      <c r="G125">
        <v>-150.095</v>
      </c>
      <c r="H125">
        <v>-10</v>
      </c>
      <c r="I125">
        <v>106.7</v>
      </c>
      <c r="J125" t="str">
        <f>HYPERLINK("https://climate.onebuilding.org/WMO_Region_4_North_and_Central_America/USA_United_States_of_America/AK_Alaska/USA_AK_Talkeetna.AP.702510_US.Normals.2006-2020.zip")</f>
        <v>https://climate.onebuilding.org/WMO_Region_4_North_and_Central_America/USA_United_States_of_America/AK_Alaska/USA_AK_Talkeetna.AP.702510_US.Normals.2006-2020.zip</v>
      </c>
    </row>
    <row r="126" spans="1:10" x14ac:dyDescent="0.25">
      <c r="A126" t="s">
        <v>35</v>
      </c>
      <c r="B126" t="s">
        <v>36</v>
      </c>
      <c r="C126" t="s">
        <v>93</v>
      </c>
      <c r="D126" s="2">
        <v>701780</v>
      </c>
      <c r="E126" t="s">
        <v>13</v>
      </c>
      <c r="F126">
        <v>65.174400000000006</v>
      </c>
      <c r="G126">
        <v>-152.1069</v>
      </c>
      <c r="H126">
        <v>-10</v>
      </c>
      <c r="I126">
        <v>69.2</v>
      </c>
      <c r="J126" t="str">
        <f>HYPERLINK("https://climate.onebuilding.org/WMO_Region_4_North_and_Central_America/USA_United_States_of_America/AK_Alaska/USA_AK_Tanana-Calhoun.Meml.AP.701780_US.Normals.2006-2020.zip")</f>
        <v>https://climate.onebuilding.org/WMO_Region_4_North_and_Central_America/USA_United_States_of_America/AK_Alaska/USA_AK_Tanana-Calhoun.Meml.AP.701780_US.Normals.2006-2020.zip</v>
      </c>
    </row>
    <row r="127" spans="1:10" x14ac:dyDescent="0.25">
      <c r="A127" t="s">
        <v>35</v>
      </c>
      <c r="B127" t="s">
        <v>36</v>
      </c>
      <c r="C127" t="s">
        <v>94</v>
      </c>
      <c r="D127" s="2">
        <v>702315</v>
      </c>
      <c r="E127" t="s">
        <v>13</v>
      </c>
      <c r="F127">
        <v>62.9</v>
      </c>
      <c r="G127">
        <v>-155.9667</v>
      </c>
      <c r="H127">
        <v>-10</v>
      </c>
      <c r="I127">
        <v>293.8</v>
      </c>
      <c r="J127" t="str">
        <f>HYPERLINK("https://climate.onebuilding.org/WMO_Region_4_North_and_Central_America/USA_United_States_of_America/AK_Alaska/USA_AK_Tatalina.LRRS.AP.702315_US.Normals.2006-2020.zip")</f>
        <v>https://climate.onebuilding.org/WMO_Region_4_North_and_Central_America/USA_United_States_of_America/AK_Alaska/USA_AK_Tatalina.LRRS.AP.702315_US.Normals.2006-2020.zip</v>
      </c>
    </row>
    <row r="128" spans="1:10" x14ac:dyDescent="0.25">
      <c r="A128" t="s">
        <v>35</v>
      </c>
      <c r="B128" t="s">
        <v>36</v>
      </c>
      <c r="C128" t="s">
        <v>95</v>
      </c>
      <c r="D128" s="2">
        <v>701170</v>
      </c>
      <c r="E128" t="s">
        <v>13</v>
      </c>
      <c r="F128">
        <v>65.566699999999997</v>
      </c>
      <c r="G128">
        <v>-167.91669999999999</v>
      </c>
      <c r="H128">
        <v>-11</v>
      </c>
      <c r="I128">
        <v>82</v>
      </c>
      <c r="J128" t="str">
        <f>HYPERLINK("https://climate.onebuilding.org/WMO_Region_4_North_and_Central_America/USA_United_States_of_America/AK_Alaska/USA_AK_Tin.City.LRRS.AP.701170_US.Normals.2006-2020.zip")</f>
        <v>https://climate.onebuilding.org/WMO_Region_4_North_and_Central_America/USA_United_States_of_America/AK_Alaska/USA_AK_Tin.City.LRRS.AP.701170_US.Normals.2006-2020.zip</v>
      </c>
    </row>
    <row r="129" spans="1:10" x14ac:dyDescent="0.25">
      <c r="A129" t="s">
        <v>35</v>
      </c>
      <c r="B129" t="s">
        <v>36</v>
      </c>
      <c r="C129" t="s">
        <v>96</v>
      </c>
      <c r="D129" s="2">
        <v>702070</v>
      </c>
      <c r="E129" t="s">
        <v>13</v>
      </c>
      <c r="F129">
        <v>63.883299999999998</v>
      </c>
      <c r="G129">
        <v>-160.80000000000001</v>
      </c>
      <c r="H129">
        <v>-11</v>
      </c>
      <c r="I129">
        <v>5.5</v>
      </c>
      <c r="J129" t="str">
        <f>HYPERLINK("https://climate.onebuilding.org/WMO_Region_4_North_and_Central_America/USA_United_States_of_America/AK_Alaska/USA_AK_Unalakleet.AP.702070_US.Normals.2006-2020.zip")</f>
        <v>https://climate.onebuilding.org/WMO_Region_4_North_and_Central_America/USA_United_States_of_America/AK_Alaska/USA_AK_Unalakleet.AP.702070_US.Normals.2006-2020.zip</v>
      </c>
    </row>
    <row r="130" spans="1:10" x14ac:dyDescent="0.25">
      <c r="A130" t="s">
        <v>35</v>
      </c>
      <c r="B130" t="s">
        <v>36</v>
      </c>
      <c r="C130" t="s">
        <v>97</v>
      </c>
      <c r="D130" s="2">
        <v>702756</v>
      </c>
      <c r="E130" t="s">
        <v>13</v>
      </c>
      <c r="F130">
        <v>61.131399999999999</v>
      </c>
      <c r="G130">
        <v>-146.24359999999999</v>
      </c>
      <c r="H130">
        <v>-10</v>
      </c>
      <c r="I130">
        <v>18.3</v>
      </c>
      <c r="J130" t="str">
        <f>HYPERLINK("https://climate.onebuilding.org/WMO_Region_4_North_and_Central_America/USA_United_States_of_America/AK_Alaska/USA_AK_Valdez.AP-Pioneer.Field.702756_US.Normals.2006-2020.zip")</f>
        <v>https://climate.onebuilding.org/WMO_Region_4_North_and_Central_America/USA_United_States_of_America/AK_Alaska/USA_AK_Valdez.AP-Pioneer.Field.702756_US.Normals.2006-2020.zip</v>
      </c>
    </row>
    <row r="131" spans="1:10" x14ac:dyDescent="0.25">
      <c r="A131" t="s">
        <v>35</v>
      </c>
      <c r="B131" t="s">
        <v>36</v>
      </c>
      <c r="C131" t="s">
        <v>98</v>
      </c>
      <c r="D131" s="2">
        <v>700300</v>
      </c>
      <c r="E131" t="s">
        <v>13</v>
      </c>
      <c r="F131">
        <v>70.639200000000002</v>
      </c>
      <c r="G131">
        <v>-159.995</v>
      </c>
      <c r="H131">
        <v>-11</v>
      </c>
      <c r="I131">
        <v>9.1</v>
      </c>
      <c r="J131" t="str">
        <f>HYPERLINK("https://climate.onebuilding.org/WMO_Region_4_North_and_Central_America/USA_United_States_of_America/AK_Alaska/USA_AK_Wainwright.AP.700300_US.Normals.2006-2020.zip")</f>
        <v>https://climate.onebuilding.org/WMO_Region_4_North_and_Central_America/USA_United_States_of_America/AK_Alaska/USA_AK_Wainwright.AP.700300_US.Normals.2006-2020.zip</v>
      </c>
    </row>
    <row r="132" spans="1:10" x14ac:dyDescent="0.25">
      <c r="A132" t="s">
        <v>35</v>
      </c>
      <c r="B132" t="s">
        <v>36</v>
      </c>
      <c r="C132" t="s">
        <v>99</v>
      </c>
      <c r="D132" s="2">
        <v>703870</v>
      </c>
      <c r="E132" t="s">
        <v>13</v>
      </c>
      <c r="F132">
        <v>56.473300000000002</v>
      </c>
      <c r="G132">
        <v>-132.38749999999999</v>
      </c>
      <c r="H132">
        <v>-9</v>
      </c>
      <c r="I132">
        <v>17.100000000000001</v>
      </c>
      <c r="J132" t="str">
        <f>HYPERLINK("https://climate.onebuilding.org/WMO_Region_4_North_and_Central_America/USA_United_States_of_America/AK_Alaska/USA_AK_Wrangell.AP.703870_US.Normals.2006-2020.zip")</f>
        <v>https://climate.onebuilding.org/WMO_Region_4_North_and_Central_America/USA_United_States_of_America/AK_Alaska/USA_AK_Wrangell.AP.703870_US.Normals.2006-2020.zip</v>
      </c>
    </row>
    <row r="133" spans="1:10" x14ac:dyDescent="0.25">
      <c r="A133" t="s">
        <v>35</v>
      </c>
      <c r="B133" t="s">
        <v>36</v>
      </c>
      <c r="C133" t="s">
        <v>100</v>
      </c>
      <c r="D133" s="2">
        <v>703610</v>
      </c>
      <c r="E133" t="s">
        <v>13</v>
      </c>
      <c r="F133">
        <v>59.511899999999997</v>
      </c>
      <c r="G133">
        <v>-139.6711</v>
      </c>
      <c r="H133">
        <v>-9</v>
      </c>
      <c r="I133">
        <v>10.1</v>
      </c>
      <c r="J133" t="str">
        <f>HYPERLINK("https://climate.onebuilding.org/WMO_Region_4_North_and_Central_America/USA_United_States_of_America/AK_Alaska/USA_AK_Yakutat.AP.703610_US.Normals.1981-2010.zip")</f>
        <v>https://climate.onebuilding.org/WMO_Region_4_North_and_Central_America/USA_United_States_of_America/AK_Alaska/USA_AK_Yakutat.AP.703610_US.Normals.1981-2010.zip</v>
      </c>
    </row>
    <row r="134" spans="1:10" x14ac:dyDescent="0.25">
      <c r="A134" t="s">
        <v>35</v>
      </c>
      <c r="B134" t="s">
        <v>36</v>
      </c>
      <c r="C134" t="s">
        <v>100</v>
      </c>
      <c r="D134" s="2">
        <v>703610</v>
      </c>
      <c r="E134" t="s">
        <v>13</v>
      </c>
      <c r="F134">
        <v>59.511899999999997</v>
      </c>
      <c r="G134">
        <v>-139.6711</v>
      </c>
      <c r="H134">
        <v>-9</v>
      </c>
      <c r="I134">
        <v>10.1</v>
      </c>
      <c r="J134" t="str">
        <f>HYPERLINK("https://climate.onebuilding.org/WMO_Region_4_North_and_Central_America/USA_United_States_of_America/AK_Alaska/USA_AK_Yakutat.AP.703610_US.Normals.1991-2020.zip")</f>
        <v>https://climate.onebuilding.org/WMO_Region_4_North_and_Central_America/USA_United_States_of_America/AK_Alaska/USA_AK_Yakutat.AP.703610_US.Normals.1991-2020.zip</v>
      </c>
    </row>
    <row r="135" spans="1:10" x14ac:dyDescent="0.25">
      <c r="A135" t="s">
        <v>35</v>
      </c>
      <c r="B135" t="s">
        <v>36</v>
      </c>
      <c r="C135" t="s">
        <v>100</v>
      </c>
      <c r="D135" s="2">
        <v>703610</v>
      </c>
      <c r="E135" t="s">
        <v>13</v>
      </c>
      <c r="F135">
        <v>59.511899999999997</v>
      </c>
      <c r="G135">
        <v>-139.6711</v>
      </c>
      <c r="H135">
        <v>-9</v>
      </c>
      <c r="I135">
        <v>10.1</v>
      </c>
      <c r="J135" t="str">
        <f>HYPERLINK("https://climate.onebuilding.org/WMO_Region_4_North_and_Central_America/USA_United_States_of_America/AK_Alaska/USA_AK_Yakutat.AP.703610_US.Normals.2006-2020.zip")</f>
        <v>https://climate.onebuilding.org/WMO_Region_4_North_and_Central_America/USA_United_States_of_America/AK_Alaska/USA_AK_Yakutat.AP.703610_US.Normals.2006-2020.zip</v>
      </c>
    </row>
    <row r="136" spans="1:10" x14ac:dyDescent="0.25">
      <c r="A136" t="s">
        <v>35</v>
      </c>
      <c r="B136" t="s">
        <v>101</v>
      </c>
      <c r="C136" t="s">
        <v>102</v>
      </c>
      <c r="D136" s="2">
        <v>722275</v>
      </c>
      <c r="E136" t="s">
        <v>13</v>
      </c>
      <c r="F136">
        <v>31.308900000000001</v>
      </c>
      <c r="G136">
        <v>-86.393900000000002</v>
      </c>
      <c r="H136">
        <v>-6</v>
      </c>
      <c r="I136">
        <v>94.5</v>
      </c>
      <c r="J136" t="str">
        <f>HYPERLINK("https://climate.onebuilding.org/WMO_Region_4_North_and_Central_America/USA_United_States_of_America/AL_Alabama/USA_AL_Andalusia-South.Alabama.Rgnl.AP.722275_US.Normals.2006-2020.zip")</f>
        <v>https://climate.onebuilding.org/WMO_Region_4_North_and_Central_America/USA_United_States_of_America/AL_Alabama/USA_AL_Andalusia-South.Alabama.Rgnl.AP.722275_US.Normals.2006-2020.zip</v>
      </c>
    </row>
    <row r="137" spans="1:10" x14ac:dyDescent="0.25">
      <c r="A137" t="s">
        <v>35</v>
      </c>
      <c r="B137" t="s">
        <v>101</v>
      </c>
      <c r="C137" t="s">
        <v>103</v>
      </c>
      <c r="D137" s="2">
        <v>722287</v>
      </c>
      <c r="E137" t="s">
        <v>13</v>
      </c>
      <c r="F137">
        <v>33.587200000000003</v>
      </c>
      <c r="G137">
        <v>-85.855599999999995</v>
      </c>
      <c r="H137">
        <v>-6</v>
      </c>
      <c r="I137">
        <v>181.1</v>
      </c>
      <c r="J137" t="str">
        <f>HYPERLINK("https://climate.onebuilding.org/WMO_Region_4_North_and_Central_America/USA_United_States_of_America/AL_Alabama/USA_AL_Anniston.Rgnl.AP.722287_US.Normals.1981-2010.zip")</f>
        <v>https://climate.onebuilding.org/WMO_Region_4_North_and_Central_America/USA_United_States_of_America/AL_Alabama/USA_AL_Anniston.Rgnl.AP.722287_US.Normals.1981-2010.zip</v>
      </c>
    </row>
    <row r="138" spans="1:10" x14ac:dyDescent="0.25">
      <c r="A138" t="s">
        <v>35</v>
      </c>
      <c r="B138" t="s">
        <v>101</v>
      </c>
      <c r="C138" t="s">
        <v>103</v>
      </c>
      <c r="D138" s="2">
        <v>722287</v>
      </c>
      <c r="E138" t="s">
        <v>13</v>
      </c>
      <c r="F138">
        <v>33.587200000000003</v>
      </c>
      <c r="G138">
        <v>-85.855599999999995</v>
      </c>
      <c r="H138">
        <v>-6</v>
      </c>
      <c r="I138">
        <v>181.1</v>
      </c>
      <c r="J138" t="str">
        <f>HYPERLINK("https://climate.onebuilding.org/WMO_Region_4_North_and_Central_America/USA_United_States_of_America/AL_Alabama/USA_AL_Anniston.Rgnl.AP.722287_US.Normals.1991-2020.zip")</f>
        <v>https://climate.onebuilding.org/WMO_Region_4_North_and_Central_America/USA_United_States_of_America/AL_Alabama/USA_AL_Anniston.Rgnl.AP.722287_US.Normals.1991-2020.zip</v>
      </c>
    </row>
    <row r="139" spans="1:10" x14ac:dyDescent="0.25">
      <c r="A139" t="s">
        <v>35</v>
      </c>
      <c r="B139" t="s">
        <v>101</v>
      </c>
      <c r="C139" t="s">
        <v>103</v>
      </c>
      <c r="D139" s="2">
        <v>722287</v>
      </c>
      <c r="E139" t="s">
        <v>13</v>
      </c>
      <c r="F139">
        <v>33.587200000000003</v>
      </c>
      <c r="G139">
        <v>-85.855599999999995</v>
      </c>
      <c r="H139">
        <v>-6</v>
      </c>
      <c r="I139">
        <v>181.1</v>
      </c>
      <c r="J139" t="str">
        <f>HYPERLINK("https://climate.onebuilding.org/WMO_Region_4_North_and_Central_America/USA_United_States_of_America/AL_Alabama/USA_AL_Anniston.Rgnl.AP.722287_US.Normals.2006-2020.zip")</f>
        <v>https://climate.onebuilding.org/WMO_Region_4_North_and_Central_America/USA_United_States_of_America/AL_Alabama/USA_AL_Anniston.Rgnl.AP.722287_US.Normals.2006-2020.zip</v>
      </c>
    </row>
    <row r="140" spans="1:10" x14ac:dyDescent="0.25">
      <c r="A140" t="s">
        <v>35</v>
      </c>
      <c r="B140" t="s">
        <v>101</v>
      </c>
      <c r="C140" t="s">
        <v>104</v>
      </c>
      <c r="D140" s="2">
        <v>722277</v>
      </c>
      <c r="E140" t="s">
        <v>13</v>
      </c>
      <c r="F140">
        <v>31.145</v>
      </c>
      <c r="G140">
        <v>-87.051699999999997</v>
      </c>
      <c r="H140">
        <v>-6</v>
      </c>
      <c r="I140">
        <v>51.8</v>
      </c>
      <c r="J140" t="str">
        <f>HYPERLINK("https://climate.onebuilding.org/WMO_Region_4_North_and_Central_America/USA_United_States_of_America/AL_Alabama/USA_AL_Auburn.Univ.Brewton.Agricultural.Research.Unit.722277_US.Normals.2006-2020.zip")</f>
        <v>https://climate.onebuilding.org/WMO_Region_4_North_and_Central_America/USA_United_States_of_America/AL_Alabama/USA_AL_Auburn.Univ.Brewton.Agricultural.Research.Unit.722277_US.Normals.2006-2020.zip</v>
      </c>
    </row>
    <row r="141" spans="1:10" x14ac:dyDescent="0.25">
      <c r="A141" t="s">
        <v>35</v>
      </c>
      <c r="B141" t="s">
        <v>101</v>
      </c>
      <c r="C141" t="s">
        <v>105</v>
      </c>
      <c r="D141" s="2">
        <v>722380</v>
      </c>
      <c r="E141" t="s">
        <v>13</v>
      </c>
      <c r="F141">
        <v>34.284999999999997</v>
      </c>
      <c r="G141">
        <v>-85.962199999999996</v>
      </c>
      <c r="H141">
        <v>-6</v>
      </c>
      <c r="I141">
        <v>351.1</v>
      </c>
      <c r="J141" t="str">
        <f>HYPERLINK("https://climate.onebuilding.org/WMO_Region_4_North_and_Central_America/USA_United_States_of_America/AL_Alabama/USA_AL_Auburn.Univ.Sand.Mountain.Research.and.Extension.Center.722380_US.Normals.2006-2020.zip")</f>
        <v>https://climate.onebuilding.org/WMO_Region_4_North_and_Central_America/USA_United_States_of_America/AL_Alabama/USA_AL_Auburn.Univ.Sand.Mountain.Research.and.Extension.Center.722380_US.Normals.2006-2020.zip</v>
      </c>
    </row>
    <row r="142" spans="1:10" x14ac:dyDescent="0.25">
      <c r="A142" t="s">
        <v>35</v>
      </c>
      <c r="B142" t="s">
        <v>101</v>
      </c>
      <c r="C142" t="s">
        <v>106</v>
      </c>
      <c r="D142" s="2">
        <v>722300</v>
      </c>
      <c r="E142" t="s">
        <v>13</v>
      </c>
      <c r="F142">
        <v>33.1783</v>
      </c>
      <c r="G142">
        <v>-86.781700000000001</v>
      </c>
      <c r="H142">
        <v>-6</v>
      </c>
      <c r="I142">
        <v>172.2</v>
      </c>
      <c r="J142" t="str">
        <f>HYPERLINK("https://climate.onebuilding.org/WMO_Region_4_North_and_Central_America/USA_United_States_of_America/AL_Alabama/USA_AL_Birmingham-Shelby.County.AP.722300_US.Normals.2006-2020.zip")</f>
        <v>https://climate.onebuilding.org/WMO_Region_4_North_and_Central_America/USA_United_States_of_America/AL_Alabama/USA_AL_Birmingham-Shelby.County.AP.722300_US.Normals.2006-2020.zip</v>
      </c>
    </row>
    <row r="143" spans="1:10" x14ac:dyDescent="0.25">
      <c r="A143" t="s">
        <v>35</v>
      </c>
      <c r="B143" t="s">
        <v>101</v>
      </c>
      <c r="C143" t="s">
        <v>107</v>
      </c>
      <c r="D143" s="2">
        <v>722280</v>
      </c>
      <c r="E143" t="s">
        <v>13</v>
      </c>
      <c r="F143">
        <v>33.565600000000003</v>
      </c>
      <c r="G143">
        <v>-86.745000000000005</v>
      </c>
      <c r="H143">
        <v>-6</v>
      </c>
      <c r="I143">
        <v>187.5</v>
      </c>
      <c r="J143" t="str">
        <f>HYPERLINK("https://climate.onebuilding.org/WMO_Region_4_North_and_Central_America/USA_United_States_of_America/AL_Alabama/USA_AL_Birmingham-Shuttlesworth.Intl.AP.722280_US.Normals.1981-2010.zip")</f>
        <v>https://climate.onebuilding.org/WMO_Region_4_North_and_Central_America/USA_United_States_of_America/AL_Alabama/USA_AL_Birmingham-Shuttlesworth.Intl.AP.722280_US.Normals.1981-2010.zip</v>
      </c>
    </row>
    <row r="144" spans="1:10" x14ac:dyDescent="0.25">
      <c r="A144" t="s">
        <v>35</v>
      </c>
      <c r="B144" t="s">
        <v>101</v>
      </c>
      <c r="C144" t="s">
        <v>107</v>
      </c>
      <c r="D144" s="2">
        <v>722280</v>
      </c>
      <c r="E144" t="s">
        <v>13</v>
      </c>
      <c r="F144">
        <v>33.565600000000003</v>
      </c>
      <c r="G144">
        <v>-86.745000000000005</v>
      </c>
      <c r="H144">
        <v>-6</v>
      </c>
      <c r="I144">
        <v>187.5</v>
      </c>
      <c r="J144" t="str">
        <f>HYPERLINK("https://climate.onebuilding.org/WMO_Region_4_North_and_Central_America/USA_United_States_of_America/AL_Alabama/USA_AL_Birmingham-Shuttlesworth.Intl.AP.722280_US.Normals.1991-2020.zip")</f>
        <v>https://climate.onebuilding.org/WMO_Region_4_North_and_Central_America/USA_United_States_of_America/AL_Alabama/USA_AL_Birmingham-Shuttlesworth.Intl.AP.722280_US.Normals.1991-2020.zip</v>
      </c>
    </row>
    <row r="145" spans="1:10" x14ac:dyDescent="0.25">
      <c r="A145" t="s">
        <v>35</v>
      </c>
      <c r="B145" t="s">
        <v>101</v>
      </c>
      <c r="C145" t="s">
        <v>107</v>
      </c>
      <c r="D145" s="2">
        <v>722280</v>
      </c>
      <c r="E145" t="s">
        <v>13</v>
      </c>
      <c r="F145">
        <v>33.565600000000003</v>
      </c>
      <c r="G145">
        <v>-86.745000000000005</v>
      </c>
      <c r="H145">
        <v>-6</v>
      </c>
      <c r="I145">
        <v>187.5</v>
      </c>
      <c r="J145" t="str">
        <f>HYPERLINK("https://climate.onebuilding.org/WMO_Region_4_North_and_Central_America/USA_United_States_of_America/AL_Alabama/USA_AL_Birmingham-Shuttlesworth.Intl.AP.722280_US.Normals.2006-2020.zip")</f>
        <v>https://climate.onebuilding.org/WMO_Region_4_North_and_Central_America/USA_United_States_of_America/AL_Alabama/USA_AL_Birmingham-Shuttlesworth.Intl.AP.722280_US.Normals.2006-2020.zip</v>
      </c>
    </row>
    <row r="146" spans="1:10" x14ac:dyDescent="0.25">
      <c r="A146" t="s">
        <v>35</v>
      </c>
      <c r="B146" t="s">
        <v>101</v>
      </c>
      <c r="C146" t="s">
        <v>108</v>
      </c>
      <c r="D146" s="2">
        <v>750020</v>
      </c>
      <c r="E146" t="s">
        <v>13</v>
      </c>
      <c r="F146">
        <v>32.851700000000001</v>
      </c>
      <c r="G146">
        <v>-86.611400000000003</v>
      </c>
      <c r="H146">
        <v>-6</v>
      </c>
      <c r="I146">
        <v>178</v>
      </c>
      <c r="J146" t="str">
        <f>HYPERLINK("https://climate.onebuilding.org/WMO_Region_4_North_and_Central_America/USA_United_States_of_America/AL_Alabama/USA_AL_Clanton-Chilton.County.AP-Wade.Field.750020_US.Normals.2006-2020.zip")</f>
        <v>https://climate.onebuilding.org/WMO_Region_4_North_and_Central_America/USA_United_States_of_America/AL_Alabama/USA_AL_Clanton-Chilton.County.AP-Wade.Field.750020_US.Normals.2006-2020.zip</v>
      </c>
    </row>
    <row r="147" spans="1:10" x14ac:dyDescent="0.25">
      <c r="A147" t="s">
        <v>35</v>
      </c>
      <c r="B147" t="s">
        <v>101</v>
      </c>
      <c r="C147" t="s">
        <v>109</v>
      </c>
      <c r="D147" s="2">
        <v>720774</v>
      </c>
      <c r="E147" t="s">
        <v>13</v>
      </c>
      <c r="F147">
        <v>34.660299999999999</v>
      </c>
      <c r="G147">
        <v>-87.346100000000007</v>
      </c>
      <c r="H147">
        <v>-6</v>
      </c>
      <c r="I147">
        <v>175.3</v>
      </c>
      <c r="J147" t="str">
        <f>HYPERLINK("https://climate.onebuilding.org/WMO_Region_4_North_and_Central_America/USA_United_States_of_America/AL_Alabama/USA_AL_Courtland.AP.720774_US.Normals.2006-2020.zip")</f>
        <v>https://climate.onebuilding.org/WMO_Region_4_North_and_Central_America/USA_United_States_of_America/AL_Alabama/USA_AL_Courtland.AP.720774_US.Normals.2006-2020.zip</v>
      </c>
    </row>
    <row r="148" spans="1:10" x14ac:dyDescent="0.25">
      <c r="A148" t="s">
        <v>35</v>
      </c>
      <c r="B148" t="s">
        <v>101</v>
      </c>
      <c r="C148" t="s">
        <v>110</v>
      </c>
      <c r="D148" s="2">
        <v>722268</v>
      </c>
      <c r="E148" t="s">
        <v>13</v>
      </c>
      <c r="F148">
        <v>31.321400000000001</v>
      </c>
      <c r="G148">
        <v>-85.449700000000007</v>
      </c>
      <c r="H148">
        <v>-6</v>
      </c>
      <c r="I148">
        <v>112.8</v>
      </c>
      <c r="J148" t="str">
        <f>HYPERLINK("https://climate.onebuilding.org/WMO_Region_4_North_and_Central_America/USA_United_States_of_America/AL_Alabama/USA_AL_Dothan.Rgnl.AP.722268_US.Normals.2006-2020.zip")</f>
        <v>https://climate.onebuilding.org/WMO_Region_4_North_and_Central_America/USA_United_States_of_America/AL_Alabama/USA_AL_Dothan.Rgnl.AP.722268_US.Normals.2006-2020.zip</v>
      </c>
    </row>
    <row r="149" spans="1:10" x14ac:dyDescent="0.25">
      <c r="A149" t="s">
        <v>35</v>
      </c>
      <c r="B149" t="s">
        <v>101</v>
      </c>
      <c r="C149" t="s">
        <v>111</v>
      </c>
      <c r="D149" s="2">
        <v>720010</v>
      </c>
      <c r="E149" t="s">
        <v>13</v>
      </c>
      <c r="F149">
        <v>34.195300000000003</v>
      </c>
      <c r="G149">
        <v>-86.796400000000006</v>
      </c>
      <c r="H149">
        <v>-6</v>
      </c>
      <c r="I149">
        <v>243.8</v>
      </c>
      <c r="J149" t="str">
        <f>HYPERLINK("https://climate.onebuilding.org/WMO_Region_4_North_and_Central_America/USA_United_States_of_America/AL_Alabama/USA_AL_East.Point.720010_US.Normals.2006-2020.zip")</f>
        <v>https://climate.onebuilding.org/WMO_Region_4_North_and_Central_America/USA_United_States_of_America/AL_Alabama/USA_AL_East.Point.720010_US.Normals.2006-2020.zip</v>
      </c>
    </row>
    <row r="150" spans="1:10" x14ac:dyDescent="0.25">
      <c r="A150" t="s">
        <v>35</v>
      </c>
      <c r="B150" t="s">
        <v>101</v>
      </c>
      <c r="C150" t="s">
        <v>112</v>
      </c>
      <c r="D150" s="2">
        <v>722276</v>
      </c>
      <c r="E150" t="s">
        <v>13</v>
      </c>
      <c r="F150">
        <v>31.415600000000001</v>
      </c>
      <c r="G150">
        <v>-87.044200000000004</v>
      </c>
      <c r="H150">
        <v>-6</v>
      </c>
      <c r="I150">
        <v>78.599999999999994</v>
      </c>
      <c r="J150" t="str">
        <f>HYPERLINK("https://climate.onebuilding.org/WMO_Region_4_North_and_Central_America/USA_United_States_of_America/AL_Alabama/USA_AL_Evergreen.Rgnl.AP-Middleton.Field.722276_US.Normals.2006-2020.zip")</f>
        <v>https://climate.onebuilding.org/WMO_Region_4_North_and_Central_America/USA_United_States_of_America/AL_Alabama/USA_AL_Evergreen.Rgnl.AP-Middleton.Field.722276_US.Normals.2006-2020.zip</v>
      </c>
    </row>
    <row r="151" spans="1:10" x14ac:dyDescent="0.25">
      <c r="A151" t="s">
        <v>35</v>
      </c>
      <c r="B151" t="s">
        <v>101</v>
      </c>
      <c r="C151" t="s">
        <v>113</v>
      </c>
      <c r="D151" s="2">
        <v>722370</v>
      </c>
      <c r="E151" t="s">
        <v>13</v>
      </c>
      <c r="F151">
        <v>30.5486</v>
      </c>
      <c r="G151">
        <v>-87.875799999999998</v>
      </c>
      <c r="H151">
        <v>-6</v>
      </c>
      <c r="I151">
        <v>29</v>
      </c>
      <c r="J151" t="str">
        <f>HYPERLINK("https://climate.onebuilding.org/WMO_Region_4_North_and_Central_America/USA_United_States_of_America/AL_Alabama/USA_AL_Fairhope.722370_US.Normals.2006-2020.zip")</f>
        <v>https://climate.onebuilding.org/WMO_Region_4_North_and_Central_America/USA_United_States_of_America/AL_Alabama/USA_AL_Fairhope.722370_US.Normals.2006-2020.zip</v>
      </c>
    </row>
    <row r="152" spans="1:10" x14ac:dyDescent="0.25">
      <c r="A152" t="s">
        <v>35</v>
      </c>
      <c r="B152" t="s">
        <v>101</v>
      </c>
      <c r="C152" t="s">
        <v>114</v>
      </c>
      <c r="D152" s="2">
        <v>720361</v>
      </c>
      <c r="E152" t="s">
        <v>13</v>
      </c>
      <c r="F152">
        <v>31.0425</v>
      </c>
      <c r="G152">
        <v>-86.311700000000002</v>
      </c>
      <c r="H152">
        <v>-6</v>
      </c>
      <c r="I152">
        <v>95.7</v>
      </c>
      <c r="J152" t="str">
        <f>HYPERLINK("https://climate.onebuilding.org/WMO_Region_4_North_and_Central_America/USA_United_States_of_America/AL_Alabama/USA_AL_Florala.Muni.AP.720361_US.Normals.2006-2020.zip")</f>
        <v>https://climate.onebuilding.org/WMO_Region_4_North_and_Central_America/USA_United_States_of_America/AL_Alabama/USA_AL_Florala.Muni.AP.720361_US.Normals.2006-2020.zip</v>
      </c>
    </row>
    <row r="153" spans="1:10" x14ac:dyDescent="0.25">
      <c r="A153" t="s">
        <v>35</v>
      </c>
      <c r="B153" t="s">
        <v>101</v>
      </c>
      <c r="C153" t="s">
        <v>115</v>
      </c>
      <c r="D153" s="2">
        <v>722269</v>
      </c>
      <c r="E153" t="s">
        <v>13</v>
      </c>
      <c r="F153">
        <v>31.2667</v>
      </c>
      <c r="G153">
        <v>-85.716700000000003</v>
      </c>
      <c r="H153">
        <v>-6</v>
      </c>
      <c r="I153">
        <v>91.1</v>
      </c>
      <c r="J153" t="str">
        <f>HYPERLINK("https://climate.onebuilding.org/WMO_Region_4_North_and_Central_America/USA_United_States_of_America/AL_Alabama/USA_AL_Ft.Rucker-Cairns.AAF.722269_US.Normals.1981-2010.zip")</f>
        <v>https://climate.onebuilding.org/WMO_Region_4_North_and_Central_America/USA_United_States_of_America/AL_Alabama/USA_AL_Ft.Rucker-Cairns.AAF.722269_US.Normals.1981-2010.zip</v>
      </c>
    </row>
    <row r="154" spans="1:10" x14ac:dyDescent="0.25">
      <c r="A154" t="s">
        <v>35</v>
      </c>
      <c r="B154" t="s">
        <v>101</v>
      </c>
      <c r="C154" t="s">
        <v>115</v>
      </c>
      <c r="D154" s="2">
        <v>722269</v>
      </c>
      <c r="E154" t="s">
        <v>13</v>
      </c>
      <c r="F154">
        <v>31.2667</v>
      </c>
      <c r="G154">
        <v>-85.716700000000003</v>
      </c>
      <c r="H154">
        <v>-6</v>
      </c>
      <c r="I154">
        <v>91.1</v>
      </c>
      <c r="J154" t="str">
        <f>HYPERLINK("https://climate.onebuilding.org/WMO_Region_4_North_and_Central_America/USA_United_States_of_America/AL_Alabama/USA_AL_Ft.Rucker-Cairns.AAF.722269_US.Normals.1991-2020.zip")</f>
        <v>https://climate.onebuilding.org/WMO_Region_4_North_and_Central_America/USA_United_States_of_America/AL_Alabama/USA_AL_Ft.Rucker-Cairns.AAF.722269_US.Normals.1991-2020.zip</v>
      </c>
    </row>
    <row r="155" spans="1:10" x14ac:dyDescent="0.25">
      <c r="A155" t="s">
        <v>35</v>
      </c>
      <c r="B155" t="s">
        <v>101</v>
      </c>
      <c r="C155" t="s">
        <v>115</v>
      </c>
      <c r="D155" s="2">
        <v>722269</v>
      </c>
      <c r="E155" t="s">
        <v>13</v>
      </c>
      <c r="F155">
        <v>31.2667</v>
      </c>
      <c r="G155">
        <v>-85.716700000000003</v>
      </c>
      <c r="H155">
        <v>-6</v>
      </c>
      <c r="I155">
        <v>91.1</v>
      </c>
      <c r="J155" t="str">
        <f>HYPERLINK("https://climate.onebuilding.org/WMO_Region_4_North_and_Central_America/USA_United_States_of_America/AL_Alabama/USA_AL_Ft.Rucker-Cairns.AAF.722269_US.Normals.2006-2020.zip")</f>
        <v>https://climate.onebuilding.org/WMO_Region_4_North_and_Central_America/USA_United_States_of_America/AL_Alabama/USA_AL_Ft.Rucker-Cairns.AAF.722269_US.Normals.2006-2020.zip</v>
      </c>
    </row>
    <row r="156" spans="1:10" x14ac:dyDescent="0.25">
      <c r="A156" t="s">
        <v>35</v>
      </c>
      <c r="B156" t="s">
        <v>101</v>
      </c>
      <c r="C156" t="s">
        <v>116</v>
      </c>
      <c r="D156" s="2">
        <v>750030</v>
      </c>
      <c r="E156" t="s">
        <v>13</v>
      </c>
      <c r="F156">
        <v>32.8369</v>
      </c>
      <c r="G156">
        <v>-88.137500000000003</v>
      </c>
      <c r="H156">
        <v>-6</v>
      </c>
      <c r="I156">
        <v>32.6</v>
      </c>
      <c r="J156" t="str">
        <f>HYPERLINK("https://climate.onebuilding.org/WMO_Region_4_North_and_Central_America/USA_United_States_of_America/AL_Alabama/USA_AL_Gainesville.750030_US.Normals.2006-2020.zip")</f>
        <v>https://climate.onebuilding.org/WMO_Region_4_North_and_Central_America/USA_United_States_of_America/AL_Alabama/USA_AL_Gainesville.750030_US.Normals.2006-2020.zip</v>
      </c>
    </row>
    <row r="157" spans="1:10" x14ac:dyDescent="0.25">
      <c r="A157" t="s">
        <v>35</v>
      </c>
      <c r="B157" t="s">
        <v>101</v>
      </c>
      <c r="C157" t="s">
        <v>117</v>
      </c>
      <c r="D157" s="2">
        <v>750040</v>
      </c>
      <c r="E157" t="s">
        <v>13</v>
      </c>
      <c r="F157">
        <v>32.716900000000003</v>
      </c>
      <c r="G157">
        <v>-87.622500000000002</v>
      </c>
      <c r="H157">
        <v>-6</v>
      </c>
      <c r="I157">
        <v>85.3</v>
      </c>
      <c r="J157" t="str">
        <f>HYPERLINK("https://climate.onebuilding.org/WMO_Region_4_North_and_Central_America/USA_United_States_of_America/AL_Alabama/USA_AL_Greensboro.750040_US.Normals.2006-2020.zip")</f>
        <v>https://climate.onebuilding.org/WMO_Region_4_North_and_Central_America/USA_United_States_of_America/AL_Alabama/USA_AL_Greensboro.750040_US.Normals.2006-2020.zip</v>
      </c>
    </row>
    <row r="158" spans="1:10" x14ac:dyDescent="0.25">
      <c r="A158" t="s">
        <v>35</v>
      </c>
      <c r="B158" t="s">
        <v>101</v>
      </c>
      <c r="C158" t="s">
        <v>118</v>
      </c>
      <c r="D158" s="2">
        <v>720362</v>
      </c>
      <c r="E158" t="s">
        <v>13</v>
      </c>
      <c r="F158">
        <v>31.845600000000001</v>
      </c>
      <c r="G158">
        <v>-86.610799999999998</v>
      </c>
      <c r="H158">
        <v>-6</v>
      </c>
      <c r="I158">
        <v>137.5</v>
      </c>
      <c r="J158" t="str">
        <f>HYPERLINK("https://climate.onebuilding.org/WMO_Region_4_North_and_Central_America/USA_United_States_of_America/AL_Alabama/USA_AL_Greenville-Crenshaw.Meml.AP.720362_US.Normals.2006-2020.zip")</f>
        <v>https://climate.onebuilding.org/WMO_Region_4_North_and_Central_America/USA_United_States_of_America/AL_Alabama/USA_AL_Greenville-Crenshaw.Meml.AP.720362_US.Normals.2006-2020.zip</v>
      </c>
    </row>
    <row r="159" spans="1:10" x14ac:dyDescent="0.25">
      <c r="A159" t="s">
        <v>35</v>
      </c>
      <c r="B159" t="s">
        <v>101</v>
      </c>
      <c r="C159" t="s">
        <v>119</v>
      </c>
      <c r="D159" s="2">
        <v>723230</v>
      </c>
      <c r="E159" t="s">
        <v>13</v>
      </c>
      <c r="F159">
        <v>34.643900000000002</v>
      </c>
      <c r="G159">
        <v>-86.786100000000005</v>
      </c>
      <c r="H159">
        <v>-6</v>
      </c>
      <c r="I159">
        <v>190.2</v>
      </c>
      <c r="J159" t="str">
        <f>HYPERLINK("https://climate.onebuilding.org/WMO_Region_4_North_and_Central_America/USA_United_States_of_America/AL_Alabama/USA_AL_Huntsville.Intl.AP-Jones.Field.723230_US.Normals.1981-2010.zip")</f>
        <v>https://climate.onebuilding.org/WMO_Region_4_North_and_Central_America/USA_United_States_of_America/AL_Alabama/USA_AL_Huntsville.Intl.AP-Jones.Field.723230_US.Normals.1981-2010.zip</v>
      </c>
    </row>
    <row r="160" spans="1:10" x14ac:dyDescent="0.25">
      <c r="A160" t="s">
        <v>35</v>
      </c>
      <c r="B160" t="s">
        <v>101</v>
      </c>
      <c r="C160" t="s">
        <v>119</v>
      </c>
      <c r="D160" s="2">
        <v>723230</v>
      </c>
      <c r="E160" t="s">
        <v>13</v>
      </c>
      <c r="F160">
        <v>34.643900000000002</v>
      </c>
      <c r="G160">
        <v>-86.786100000000005</v>
      </c>
      <c r="H160">
        <v>-6</v>
      </c>
      <c r="I160">
        <v>190.2</v>
      </c>
      <c r="J160" t="str">
        <f>HYPERLINK("https://climate.onebuilding.org/WMO_Region_4_North_and_Central_America/USA_United_States_of_America/AL_Alabama/USA_AL_Huntsville.Intl.AP-Jones.Field.723230_US.Normals.1991-2020.zip")</f>
        <v>https://climate.onebuilding.org/WMO_Region_4_North_and_Central_America/USA_United_States_of_America/AL_Alabama/USA_AL_Huntsville.Intl.AP-Jones.Field.723230_US.Normals.1991-2020.zip</v>
      </c>
    </row>
    <row r="161" spans="1:10" x14ac:dyDescent="0.25">
      <c r="A161" t="s">
        <v>35</v>
      </c>
      <c r="B161" t="s">
        <v>101</v>
      </c>
      <c r="C161" t="s">
        <v>119</v>
      </c>
      <c r="D161" s="2">
        <v>723230</v>
      </c>
      <c r="E161" t="s">
        <v>13</v>
      </c>
      <c r="F161">
        <v>34.643900000000002</v>
      </c>
      <c r="G161">
        <v>-86.786100000000005</v>
      </c>
      <c r="H161">
        <v>-6</v>
      </c>
      <c r="I161">
        <v>190.2</v>
      </c>
      <c r="J161" t="str">
        <f>HYPERLINK("https://climate.onebuilding.org/WMO_Region_4_North_and_Central_America/USA_United_States_of_America/AL_Alabama/USA_AL_Huntsville.Intl.AP-Jones.Field.723230_US.Normals.2006-2020.zip")</f>
        <v>https://climate.onebuilding.org/WMO_Region_4_North_and_Central_America/USA_United_States_of_America/AL_Alabama/USA_AL_Huntsville.Intl.AP-Jones.Field.723230_US.Normals.2006-2020.zip</v>
      </c>
    </row>
    <row r="162" spans="1:10" x14ac:dyDescent="0.25">
      <c r="A162" t="s">
        <v>35</v>
      </c>
      <c r="B162" t="s">
        <v>101</v>
      </c>
      <c r="C162" t="s">
        <v>120</v>
      </c>
      <c r="D162" s="2">
        <v>722235</v>
      </c>
      <c r="E162" t="s">
        <v>13</v>
      </c>
      <c r="F162">
        <v>30.6264</v>
      </c>
      <c r="G162">
        <v>-88.068100000000001</v>
      </c>
      <c r="H162">
        <v>-6</v>
      </c>
      <c r="I162">
        <v>7.9</v>
      </c>
      <c r="J162" t="str">
        <f>HYPERLINK("https://climate.onebuilding.org/WMO_Region_4_North_and_Central_America/USA_United_States_of_America/AL_Alabama/USA_AL_Mobile-Brookley.Aeroplex.722235_US.Normals.2006-2020.zip")</f>
        <v>https://climate.onebuilding.org/WMO_Region_4_North_and_Central_America/USA_United_States_of_America/AL_Alabama/USA_AL_Mobile-Brookley.Aeroplex.722235_US.Normals.2006-2020.zip</v>
      </c>
    </row>
    <row r="163" spans="1:10" x14ac:dyDescent="0.25">
      <c r="A163" t="s">
        <v>35</v>
      </c>
      <c r="B163" t="s">
        <v>101</v>
      </c>
      <c r="C163" t="s">
        <v>121</v>
      </c>
      <c r="D163" s="2">
        <v>722230</v>
      </c>
      <c r="E163" t="s">
        <v>13</v>
      </c>
      <c r="F163">
        <v>30.679400000000001</v>
      </c>
      <c r="G163">
        <v>-88.239699999999999</v>
      </c>
      <c r="H163">
        <v>-6</v>
      </c>
      <c r="I163">
        <v>63.4</v>
      </c>
      <c r="J163" t="str">
        <f>HYPERLINK("https://climate.onebuilding.org/WMO_Region_4_North_and_Central_America/USA_United_States_of_America/AL_Alabama/USA_AL_Mobile.Rgnl.AP-Bates.Field.722230_US.Normals.1981-2010.zip")</f>
        <v>https://climate.onebuilding.org/WMO_Region_4_North_and_Central_America/USA_United_States_of_America/AL_Alabama/USA_AL_Mobile.Rgnl.AP-Bates.Field.722230_US.Normals.1981-2010.zip</v>
      </c>
    </row>
    <row r="164" spans="1:10" x14ac:dyDescent="0.25">
      <c r="A164" t="s">
        <v>35</v>
      </c>
      <c r="B164" t="s">
        <v>101</v>
      </c>
      <c r="C164" t="s">
        <v>121</v>
      </c>
      <c r="D164" s="2">
        <v>722230</v>
      </c>
      <c r="E164" t="s">
        <v>13</v>
      </c>
      <c r="F164">
        <v>30.679400000000001</v>
      </c>
      <c r="G164">
        <v>-88.239699999999999</v>
      </c>
      <c r="H164">
        <v>-6</v>
      </c>
      <c r="I164">
        <v>63.4</v>
      </c>
      <c r="J164" t="str">
        <f>HYPERLINK("https://climate.onebuilding.org/WMO_Region_4_North_and_Central_America/USA_United_States_of_America/AL_Alabama/USA_AL_Mobile.Rgnl.AP-Bates.Field.722230_US.Normals.1991-2020.zip")</f>
        <v>https://climate.onebuilding.org/WMO_Region_4_North_and_Central_America/USA_United_States_of_America/AL_Alabama/USA_AL_Mobile.Rgnl.AP-Bates.Field.722230_US.Normals.1991-2020.zip</v>
      </c>
    </row>
    <row r="165" spans="1:10" x14ac:dyDescent="0.25">
      <c r="A165" t="s">
        <v>35</v>
      </c>
      <c r="B165" t="s">
        <v>101</v>
      </c>
      <c r="C165" t="s">
        <v>121</v>
      </c>
      <c r="D165" s="2">
        <v>722230</v>
      </c>
      <c r="E165" t="s">
        <v>13</v>
      </c>
      <c r="F165">
        <v>30.679400000000001</v>
      </c>
      <c r="G165">
        <v>-88.239699999999999</v>
      </c>
      <c r="H165">
        <v>-6</v>
      </c>
      <c r="I165">
        <v>63.4</v>
      </c>
      <c r="J165" t="str">
        <f>HYPERLINK("https://climate.onebuilding.org/WMO_Region_4_North_and_Central_America/USA_United_States_of_America/AL_Alabama/USA_AL_Mobile.Rgnl.AP-Bates.Field.722230_US.Normals.2006-2020.zip")</f>
        <v>https://climate.onebuilding.org/WMO_Region_4_North_and_Central_America/USA_United_States_of_America/AL_Alabama/USA_AL_Mobile.Rgnl.AP-Bates.Field.722230_US.Normals.2006-2020.zip</v>
      </c>
    </row>
    <row r="166" spans="1:10" x14ac:dyDescent="0.25">
      <c r="A166" t="s">
        <v>35</v>
      </c>
      <c r="B166" t="s">
        <v>101</v>
      </c>
      <c r="C166" t="s">
        <v>122</v>
      </c>
      <c r="D166" s="2">
        <v>722265</v>
      </c>
      <c r="E166" t="s">
        <v>13</v>
      </c>
      <c r="F166">
        <v>32.383299999999998</v>
      </c>
      <c r="G166">
        <v>-86.35</v>
      </c>
      <c r="H166">
        <v>-6</v>
      </c>
      <c r="I166">
        <v>64</v>
      </c>
      <c r="J166" t="str">
        <f>HYPERLINK("https://climate.onebuilding.org/WMO_Region_4_North_and_Central_America/USA_United_States_of_America/AL_Alabama/USA_AL_Montgomery-Maxwell-Gunter.AFB.722265_US.Normals.2006-2020.zip")</f>
        <v>https://climate.onebuilding.org/WMO_Region_4_North_and_Central_America/USA_United_States_of_America/AL_Alabama/USA_AL_Montgomery-Maxwell-Gunter.AFB.722265_US.Normals.2006-2020.zip</v>
      </c>
    </row>
    <row r="167" spans="1:10" x14ac:dyDescent="0.25">
      <c r="A167" t="s">
        <v>35</v>
      </c>
      <c r="B167" t="s">
        <v>101</v>
      </c>
      <c r="C167" t="s">
        <v>123</v>
      </c>
      <c r="D167" s="2">
        <v>722260</v>
      </c>
      <c r="E167" t="s">
        <v>13</v>
      </c>
      <c r="F167">
        <v>32.299700000000001</v>
      </c>
      <c r="G167">
        <v>-86.407499999999999</v>
      </c>
      <c r="H167">
        <v>-6</v>
      </c>
      <c r="I167">
        <v>61.6</v>
      </c>
      <c r="J167" t="str">
        <f>HYPERLINK("https://climate.onebuilding.org/WMO_Region_4_North_and_Central_America/USA_United_States_of_America/AL_Alabama/USA_AL_Montgomery.Rgnl.AP-Dannelly.Field.722260_US.Normals.1981-2010.zip")</f>
        <v>https://climate.onebuilding.org/WMO_Region_4_North_and_Central_America/USA_United_States_of_America/AL_Alabama/USA_AL_Montgomery.Rgnl.AP-Dannelly.Field.722260_US.Normals.1981-2010.zip</v>
      </c>
    </row>
    <row r="168" spans="1:10" x14ac:dyDescent="0.25">
      <c r="A168" t="s">
        <v>35</v>
      </c>
      <c r="B168" t="s">
        <v>101</v>
      </c>
      <c r="C168" t="s">
        <v>123</v>
      </c>
      <c r="D168" s="2">
        <v>722260</v>
      </c>
      <c r="E168" t="s">
        <v>13</v>
      </c>
      <c r="F168">
        <v>32.299700000000001</v>
      </c>
      <c r="G168">
        <v>-86.407499999999999</v>
      </c>
      <c r="H168">
        <v>-6</v>
      </c>
      <c r="I168">
        <v>61.6</v>
      </c>
      <c r="J168" t="str">
        <f>HYPERLINK("https://climate.onebuilding.org/WMO_Region_4_North_and_Central_America/USA_United_States_of_America/AL_Alabama/USA_AL_Montgomery.Rgnl.AP-Dannelly.Field.722260_US.Normals.1991-2020.zip")</f>
        <v>https://climate.onebuilding.org/WMO_Region_4_North_and_Central_America/USA_United_States_of_America/AL_Alabama/USA_AL_Montgomery.Rgnl.AP-Dannelly.Field.722260_US.Normals.1991-2020.zip</v>
      </c>
    </row>
    <row r="169" spans="1:10" x14ac:dyDescent="0.25">
      <c r="A169" t="s">
        <v>35</v>
      </c>
      <c r="B169" t="s">
        <v>101</v>
      </c>
      <c r="C169" t="s">
        <v>123</v>
      </c>
      <c r="D169" s="2">
        <v>722260</v>
      </c>
      <c r="E169" t="s">
        <v>13</v>
      </c>
      <c r="F169">
        <v>32.299700000000001</v>
      </c>
      <c r="G169">
        <v>-86.407499999999999</v>
      </c>
      <c r="H169">
        <v>-6</v>
      </c>
      <c r="I169">
        <v>61.6</v>
      </c>
      <c r="J169" t="str">
        <f>HYPERLINK("https://climate.onebuilding.org/WMO_Region_4_North_and_Central_America/USA_United_States_of_America/AL_Alabama/USA_AL_Montgomery.Rgnl.AP-Dannelly.Field.722260_US.Normals.2006-2020.zip")</f>
        <v>https://climate.onebuilding.org/WMO_Region_4_North_and_Central_America/USA_United_States_of_America/AL_Alabama/USA_AL_Montgomery.Rgnl.AP-Dannelly.Field.722260_US.Normals.2006-2020.zip</v>
      </c>
    </row>
    <row r="170" spans="1:10" x14ac:dyDescent="0.25">
      <c r="A170" t="s">
        <v>35</v>
      </c>
      <c r="B170" t="s">
        <v>101</v>
      </c>
      <c r="C170" t="s">
        <v>124</v>
      </c>
      <c r="D170" s="2">
        <v>723235</v>
      </c>
      <c r="E170" t="s">
        <v>13</v>
      </c>
      <c r="F170">
        <v>34.744199999999999</v>
      </c>
      <c r="G170">
        <v>-87.599699999999999</v>
      </c>
      <c r="H170">
        <v>-6</v>
      </c>
      <c r="I170">
        <v>164.6</v>
      </c>
      <c r="J170" t="str">
        <f>HYPERLINK("https://climate.onebuilding.org/WMO_Region_4_North_and_Central_America/USA_United_States_of_America/AL_Alabama/USA_AL_Muscle.Shoals-Northwest.Alabama.Rgnl.AP.723235_US.Normals.1981-2010.zip")</f>
        <v>https://climate.onebuilding.org/WMO_Region_4_North_and_Central_America/USA_United_States_of_America/AL_Alabama/USA_AL_Muscle.Shoals-Northwest.Alabama.Rgnl.AP.723235_US.Normals.1981-2010.zip</v>
      </c>
    </row>
    <row r="171" spans="1:10" x14ac:dyDescent="0.25">
      <c r="A171" t="s">
        <v>35</v>
      </c>
      <c r="B171" t="s">
        <v>101</v>
      </c>
      <c r="C171" t="s">
        <v>124</v>
      </c>
      <c r="D171" s="2">
        <v>723235</v>
      </c>
      <c r="E171" t="s">
        <v>13</v>
      </c>
      <c r="F171">
        <v>34.744199999999999</v>
      </c>
      <c r="G171">
        <v>-87.599699999999999</v>
      </c>
      <c r="H171">
        <v>-6</v>
      </c>
      <c r="I171">
        <v>164.6</v>
      </c>
      <c r="J171" t="str">
        <f>HYPERLINK("https://climate.onebuilding.org/WMO_Region_4_North_and_Central_America/USA_United_States_of_America/AL_Alabama/USA_AL_Muscle.Shoals-Northwest.Alabama.Rgnl.AP.723235_US.Normals.1991-2020.zip")</f>
        <v>https://climate.onebuilding.org/WMO_Region_4_North_and_Central_America/USA_United_States_of_America/AL_Alabama/USA_AL_Muscle.Shoals-Northwest.Alabama.Rgnl.AP.723235_US.Normals.1991-2020.zip</v>
      </c>
    </row>
    <row r="172" spans="1:10" x14ac:dyDescent="0.25">
      <c r="A172" t="s">
        <v>35</v>
      </c>
      <c r="B172" t="s">
        <v>101</v>
      </c>
      <c r="C172" t="s">
        <v>124</v>
      </c>
      <c r="D172" s="2">
        <v>723235</v>
      </c>
      <c r="E172" t="s">
        <v>13</v>
      </c>
      <c r="F172">
        <v>34.744199999999999</v>
      </c>
      <c r="G172">
        <v>-87.599699999999999</v>
      </c>
      <c r="H172">
        <v>-6</v>
      </c>
      <c r="I172">
        <v>164.6</v>
      </c>
      <c r="J172" t="str">
        <f>HYPERLINK("https://climate.onebuilding.org/WMO_Region_4_North_and_Central_America/USA_United_States_of_America/AL_Alabama/USA_AL_Muscle.Shoals-Northwest.Alabama.Rgnl.AP.723235_US.Normals.2006-2020.zip")</f>
        <v>https://climate.onebuilding.org/WMO_Region_4_North_and_Central_America/USA_United_States_of_America/AL_Alabama/USA_AL_Muscle.Shoals-Northwest.Alabama.Rgnl.AP.723235_US.Normals.2006-2020.zip</v>
      </c>
    </row>
    <row r="173" spans="1:10" x14ac:dyDescent="0.25">
      <c r="A173" t="s">
        <v>35</v>
      </c>
      <c r="B173" t="s">
        <v>101</v>
      </c>
      <c r="C173" t="s">
        <v>125</v>
      </c>
      <c r="D173" s="2">
        <v>750050</v>
      </c>
      <c r="E173" t="s">
        <v>13</v>
      </c>
      <c r="F173">
        <v>34.772799999999997</v>
      </c>
      <c r="G173">
        <v>-87.64</v>
      </c>
      <c r="H173">
        <v>-6</v>
      </c>
      <c r="I173">
        <v>161.5</v>
      </c>
      <c r="J173" t="str">
        <f>HYPERLINK("https://climate.onebuilding.org/WMO_Region_4_North_and_Central_America/USA_United_States_of_America/AL_Alabama/USA_AL_Muscle.Shoals.TVA.750050_US.Normals.2006-2020.zip")</f>
        <v>https://climate.onebuilding.org/WMO_Region_4_North_and_Central_America/USA_United_States_of_America/AL_Alabama/USA_AL_Muscle.Shoals.TVA.750050_US.Normals.2006-2020.zip</v>
      </c>
    </row>
    <row r="174" spans="1:10" x14ac:dyDescent="0.25">
      <c r="A174" t="s">
        <v>35</v>
      </c>
      <c r="B174" t="s">
        <v>101</v>
      </c>
      <c r="C174" t="s">
        <v>126</v>
      </c>
      <c r="D174" s="2">
        <v>750060</v>
      </c>
      <c r="E174" t="s">
        <v>13</v>
      </c>
      <c r="F174">
        <v>34.453600000000002</v>
      </c>
      <c r="G174">
        <v>-87.710300000000004</v>
      </c>
      <c r="H174">
        <v>-6</v>
      </c>
      <c r="I174">
        <v>219.5</v>
      </c>
      <c r="J174" t="str">
        <f>HYPERLINK("https://climate.onebuilding.org/WMO_Region_4_North_and_Central_America/USA_United_States_of_America/AL_Alabama/USA_AL_Russellville.Muni.AP-Pugh.Field.750060_US.Normals.2006-2020.zip")</f>
        <v>https://climate.onebuilding.org/WMO_Region_4_North_and_Central_America/USA_United_States_of_America/AL_Alabama/USA_AL_Russellville.Muni.AP-Pugh.Field.750060_US.Normals.2006-2020.zip</v>
      </c>
    </row>
    <row r="175" spans="1:10" x14ac:dyDescent="0.25">
      <c r="A175" t="s">
        <v>35</v>
      </c>
      <c r="B175" t="s">
        <v>101</v>
      </c>
      <c r="C175" t="s">
        <v>127</v>
      </c>
      <c r="D175" s="2">
        <v>750070</v>
      </c>
      <c r="E175" t="s">
        <v>13</v>
      </c>
      <c r="F175">
        <v>34.694200000000002</v>
      </c>
      <c r="G175">
        <v>-85.999700000000004</v>
      </c>
      <c r="H175">
        <v>-6</v>
      </c>
      <c r="I175">
        <v>193.9</v>
      </c>
      <c r="J175" t="str">
        <f>HYPERLINK("https://climate.onebuilding.org/WMO_Region_4_North_and_Central_America/USA_United_States_of_America/AL_Alabama/USA_AL_Scottsboro.Muni.AP-Word.Field.750070_US.Normals.2006-2020.zip")</f>
        <v>https://climate.onebuilding.org/WMO_Region_4_North_and_Central_America/USA_United_States_of_America/AL_Alabama/USA_AL_Scottsboro.Muni.AP-Word.Field.750070_US.Normals.2006-2020.zip</v>
      </c>
    </row>
    <row r="176" spans="1:10" x14ac:dyDescent="0.25">
      <c r="A176" t="s">
        <v>35</v>
      </c>
      <c r="B176" t="s">
        <v>101</v>
      </c>
      <c r="C176" t="s">
        <v>128</v>
      </c>
      <c r="D176" s="2">
        <v>722360</v>
      </c>
      <c r="E176" t="s">
        <v>13</v>
      </c>
      <c r="F176">
        <v>32.456699999999998</v>
      </c>
      <c r="G176">
        <v>-87.242199999999997</v>
      </c>
      <c r="H176">
        <v>-6</v>
      </c>
      <c r="I176">
        <v>58.8</v>
      </c>
      <c r="J176" t="str">
        <f>HYPERLINK("https://climate.onebuilding.org/WMO_Region_4_North_and_Central_America/USA_United_States_of_America/AL_Alabama/USA_AL_Selma-Auburn.Univ-Black.Belt.Research.and.Extension.Center.722360_US.Normals.2006-2020.zip")</f>
        <v>https://climate.onebuilding.org/WMO_Region_4_North_and_Central_America/USA_United_States_of_America/AL_Alabama/USA_AL_Selma-Auburn.Univ-Black.Belt.Research.and.Extension.Center.722360_US.Normals.2006-2020.zip</v>
      </c>
    </row>
    <row r="177" spans="1:10" x14ac:dyDescent="0.25">
      <c r="A177" t="s">
        <v>35</v>
      </c>
      <c r="B177" t="s">
        <v>101</v>
      </c>
      <c r="C177" t="s">
        <v>129</v>
      </c>
      <c r="D177" s="2">
        <v>750100</v>
      </c>
      <c r="E177" t="s">
        <v>13</v>
      </c>
      <c r="F177">
        <v>32.335000000000001</v>
      </c>
      <c r="G177">
        <v>-86.9786</v>
      </c>
      <c r="H177">
        <v>-6</v>
      </c>
      <c r="I177">
        <v>47.9</v>
      </c>
      <c r="J177" t="str">
        <f>HYPERLINK("https://climate.onebuilding.org/WMO_Region_4_North_and_Central_America/USA_United_States_of_America/AL_Alabama/USA_AL_Selma-Craig.Field.AP.750100_US.Normals.2006-2020.zip")</f>
        <v>https://climate.onebuilding.org/WMO_Region_4_North_and_Central_America/USA_United_States_of_America/AL_Alabama/USA_AL_Selma-Craig.Field.AP.750100_US.Normals.2006-2020.zip</v>
      </c>
    </row>
    <row r="178" spans="1:10" x14ac:dyDescent="0.25">
      <c r="A178" t="s">
        <v>35</v>
      </c>
      <c r="B178" t="s">
        <v>101</v>
      </c>
      <c r="C178" t="s">
        <v>130</v>
      </c>
      <c r="D178" s="2">
        <v>722279</v>
      </c>
      <c r="E178" t="s">
        <v>13</v>
      </c>
      <c r="F178">
        <v>34.652500000000003</v>
      </c>
      <c r="G178">
        <v>-86.945300000000003</v>
      </c>
      <c r="H178">
        <v>-6</v>
      </c>
      <c r="I178">
        <v>180.4</v>
      </c>
      <c r="J178" t="str">
        <f>HYPERLINK("https://climate.onebuilding.org/WMO_Region_4_North_and_Central_America/USA_United_States_of_America/AL_Alabama/USA_AL_Tanner-Pryor.Field.Rgnl.AP.722279_US.Normals.2006-2020.zip")</f>
        <v>https://climate.onebuilding.org/WMO_Region_4_North_and_Central_America/USA_United_States_of_America/AL_Alabama/USA_AL_Tanner-Pryor.Field.Rgnl.AP.722279_US.Normals.2006-2020.zip</v>
      </c>
    </row>
    <row r="179" spans="1:10" x14ac:dyDescent="0.25">
      <c r="A179" t="s">
        <v>35</v>
      </c>
      <c r="B179" t="s">
        <v>101</v>
      </c>
      <c r="C179" t="s">
        <v>131</v>
      </c>
      <c r="D179" s="2">
        <v>721551</v>
      </c>
      <c r="E179" t="s">
        <v>13</v>
      </c>
      <c r="F179">
        <v>31.881399999999999</v>
      </c>
      <c r="G179">
        <v>-87.736699999999999</v>
      </c>
      <c r="H179">
        <v>-6</v>
      </c>
      <c r="I179">
        <v>106.7</v>
      </c>
      <c r="J179" t="str">
        <f>HYPERLINK("https://climate.onebuilding.org/WMO_Region_4_North_and_Central_America/USA_United_States_of_America/AL_Alabama/USA_AL_Thomasville.721551_US.Normals.2006-2020.zip")</f>
        <v>https://climate.onebuilding.org/WMO_Region_4_North_and_Central_America/USA_United_States_of_America/AL_Alabama/USA_AL_Thomasville.721551_US.Normals.2006-2020.zip</v>
      </c>
    </row>
    <row r="180" spans="1:10" x14ac:dyDescent="0.25">
      <c r="A180" t="s">
        <v>35</v>
      </c>
      <c r="B180" t="s">
        <v>101</v>
      </c>
      <c r="C180" t="s">
        <v>132</v>
      </c>
      <c r="D180" s="2">
        <v>750010</v>
      </c>
      <c r="E180" t="s">
        <v>13</v>
      </c>
      <c r="F180">
        <v>31.79</v>
      </c>
      <c r="G180">
        <v>-86.000299999999996</v>
      </c>
      <c r="H180">
        <v>-6</v>
      </c>
      <c r="I180">
        <v>143.9</v>
      </c>
      <c r="J180" t="str">
        <f>HYPERLINK("https://climate.onebuilding.org/WMO_Region_4_North_and_Central_America/USA_United_States_of_America/AL_Alabama/USA_AL_Troy-Pike.County.750010_US.Normals.2006-2020.zip")</f>
        <v>https://climate.onebuilding.org/WMO_Region_4_North_and_Central_America/USA_United_States_of_America/AL_Alabama/USA_AL_Troy-Pike.County.750010_US.Normals.2006-2020.zip</v>
      </c>
    </row>
    <row r="181" spans="1:10" x14ac:dyDescent="0.25">
      <c r="A181" t="s">
        <v>35</v>
      </c>
      <c r="B181" t="s">
        <v>101</v>
      </c>
      <c r="C181" t="s">
        <v>133</v>
      </c>
      <c r="D181" s="2">
        <v>722267</v>
      </c>
      <c r="E181" t="s">
        <v>13</v>
      </c>
      <c r="F181">
        <v>31.860600000000002</v>
      </c>
      <c r="G181">
        <v>-86.012200000000007</v>
      </c>
      <c r="H181">
        <v>-6</v>
      </c>
      <c r="I181">
        <v>121</v>
      </c>
      <c r="J181" t="str">
        <f>HYPERLINK("https://climate.onebuilding.org/WMO_Region_4_North_and_Central_America/USA_United_States_of_America/AL_Alabama/USA_AL_Troy.Muni.AP.722267_US.Normals.2006-2020.zip")</f>
        <v>https://climate.onebuilding.org/WMO_Region_4_North_and_Central_America/USA_United_States_of_America/AL_Alabama/USA_AL_Troy.Muni.AP.722267_US.Normals.2006-2020.zip</v>
      </c>
    </row>
    <row r="182" spans="1:10" x14ac:dyDescent="0.25">
      <c r="A182" t="s">
        <v>35</v>
      </c>
      <c r="B182" t="s">
        <v>101</v>
      </c>
      <c r="C182" t="s">
        <v>134</v>
      </c>
      <c r="D182" s="2">
        <v>722286</v>
      </c>
      <c r="E182" t="s">
        <v>13</v>
      </c>
      <c r="F182">
        <v>33.2119</v>
      </c>
      <c r="G182">
        <v>-87.616100000000003</v>
      </c>
      <c r="H182">
        <v>-6</v>
      </c>
      <c r="I182">
        <v>45.7</v>
      </c>
      <c r="J182" t="str">
        <f>HYPERLINK("https://climate.onebuilding.org/WMO_Region_4_North_and_Central_America/USA_United_States_of_America/AL_Alabama/USA_AL_Tuscaloosa.Natl.AP.722286_US.Normals.1981-2010.zip")</f>
        <v>https://climate.onebuilding.org/WMO_Region_4_North_and_Central_America/USA_United_States_of_America/AL_Alabama/USA_AL_Tuscaloosa.Natl.AP.722286_US.Normals.1981-2010.zip</v>
      </c>
    </row>
    <row r="183" spans="1:10" x14ac:dyDescent="0.25">
      <c r="A183" t="s">
        <v>35</v>
      </c>
      <c r="B183" t="s">
        <v>101</v>
      </c>
      <c r="C183" t="s">
        <v>134</v>
      </c>
      <c r="D183" s="2">
        <v>722286</v>
      </c>
      <c r="E183" t="s">
        <v>13</v>
      </c>
      <c r="F183">
        <v>33.2119</v>
      </c>
      <c r="G183">
        <v>-87.616100000000003</v>
      </c>
      <c r="H183">
        <v>-6</v>
      </c>
      <c r="I183">
        <v>45.7</v>
      </c>
      <c r="J183" t="str">
        <f>HYPERLINK("https://climate.onebuilding.org/WMO_Region_4_North_and_Central_America/USA_United_States_of_America/AL_Alabama/USA_AL_Tuscaloosa.Natl.AP.722286_US.Normals.1991-2020.zip")</f>
        <v>https://climate.onebuilding.org/WMO_Region_4_North_and_Central_America/USA_United_States_of_America/AL_Alabama/USA_AL_Tuscaloosa.Natl.AP.722286_US.Normals.1991-2020.zip</v>
      </c>
    </row>
    <row r="184" spans="1:10" x14ac:dyDescent="0.25">
      <c r="A184" t="s">
        <v>35</v>
      </c>
      <c r="B184" t="s">
        <v>101</v>
      </c>
      <c r="C184" t="s">
        <v>134</v>
      </c>
      <c r="D184" s="2">
        <v>722286</v>
      </c>
      <c r="E184" t="s">
        <v>13</v>
      </c>
      <c r="F184">
        <v>33.2119</v>
      </c>
      <c r="G184">
        <v>-87.616100000000003</v>
      </c>
      <c r="H184">
        <v>-6</v>
      </c>
      <c r="I184">
        <v>45.7</v>
      </c>
      <c r="J184" t="str">
        <f>HYPERLINK("https://climate.onebuilding.org/WMO_Region_4_North_and_Central_America/USA_United_States_of_America/AL_Alabama/USA_AL_Tuscaloosa.Natl.AP.722286_US.Normals.2006-2020.zip")</f>
        <v>https://climate.onebuilding.org/WMO_Region_4_North_and_Central_America/USA_United_States_of_America/AL_Alabama/USA_AL_Tuscaloosa.Natl.AP.722286_US.Normals.2006-2020.zip</v>
      </c>
    </row>
    <row r="185" spans="1:10" x14ac:dyDescent="0.25">
      <c r="A185" t="s">
        <v>35</v>
      </c>
      <c r="B185" t="s">
        <v>101</v>
      </c>
      <c r="C185" t="s">
        <v>135</v>
      </c>
      <c r="D185" s="2">
        <v>720011</v>
      </c>
      <c r="E185" t="s">
        <v>13</v>
      </c>
      <c r="F185">
        <v>34.565300000000001</v>
      </c>
      <c r="G185">
        <v>-85.617199999999997</v>
      </c>
      <c r="H185">
        <v>-6</v>
      </c>
      <c r="I185">
        <v>310.89999999999998</v>
      </c>
      <c r="J185" t="str">
        <f>HYPERLINK("https://climate.onebuilding.org/WMO_Region_4_North_and_Central_America/USA_United_States_of_America/AL_Alabama/USA_AL_Valley.Head.720011_US.Normals.2006-2020.zip")</f>
        <v>https://climate.onebuilding.org/WMO_Region_4_North_and_Central_America/USA_United_States_of_America/AL_Alabama/USA_AL_Valley.Head.720011_US.Normals.2006-2020.zip</v>
      </c>
    </row>
    <row r="186" spans="1:10" x14ac:dyDescent="0.25">
      <c r="A186" t="s">
        <v>35</v>
      </c>
      <c r="B186" t="s">
        <v>136</v>
      </c>
      <c r="C186" t="s">
        <v>137</v>
      </c>
      <c r="D186" s="2">
        <v>722450</v>
      </c>
      <c r="E186" t="s">
        <v>13</v>
      </c>
      <c r="F186">
        <v>35.82</v>
      </c>
      <c r="G186">
        <v>-91.781099999999995</v>
      </c>
      <c r="H186">
        <v>-6</v>
      </c>
      <c r="I186">
        <v>138.69999999999999</v>
      </c>
      <c r="J186" t="str">
        <f>HYPERLINK("https://climate.onebuilding.org/WMO_Region_4_North_and_Central_America/USA_United_States_of_America/AR_Arkansas/USA_AR_Batesville-Univ.Arkansas.Experimental.Farm.722450_US.Normals.2006-2020.zip")</f>
        <v>https://climate.onebuilding.org/WMO_Region_4_North_and_Central_America/USA_United_States_of_America/AR_Arkansas/USA_AR_Batesville-Univ.Arkansas.Experimental.Farm.722450_US.Normals.2006-2020.zip</v>
      </c>
    </row>
    <row r="187" spans="1:10" x14ac:dyDescent="0.25">
      <c r="A187" t="s">
        <v>35</v>
      </c>
      <c r="B187" t="s">
        <v>136</v>
      </c>
      <c r="C187" t="s">
        <v>138</v>
      </c>
      <c r="D187" s="2">
        <v>723436</v>
      </c>
      <c r="E187" t="s">
        <v>13</v>
      </c>
      <c r="F187">
        <v>36.283299999999997</v>
      </c>
      <c r="G187">
        <v>-94.3</v>
      </c>
      <c r="H187">
        <v>-6</v>
      </c>
      <c r="I187">
        <v>392.3</v>
      </c>
      <c r="J187" t="str">
        <f>HYPERLINK("https://climate.onebuilding.org/WMO_Region_4_North_and_Central_America/USA_United_States_of_America/AR_Arkansas/USA_AR_Bentonville-Northwest.Arkansas.Rgnl.AP.723436_US.Normals.2006-2020.zip")</f>
        <v>https://climate.onebuilding.org/WMO_Region_4_North_and_Central_America/USA_United_States_of_America/AR_Arkansas/USA_AR_Bentonville-Northwest.Arkansas.Rgnl.AP.723436_US.Normals.2006-2020.zip</v>
      </c>
    </row>
    <row r="188" spans="1:10" x14ac:dyDescent="0.25">
      <c r="A188" t="s">
        <v>35</v>
      </c>
      <c r="B188" t="s">
        <v>136</v>
      </c>
      <c r="C188" t="s">
        <v>139</v>
      </c>
      <c r="D188" s="2">
        <v>723409</v>
      </c>
      <c r="E188" t="s">
        <v>13</v>
      </c>
      <c r="F188">
        <v>35.940300000000001</v>
      </c>
      <c r="G188">
        <v>-89.830799999999996</v>
      </c>
      <c r="H188">
        <v>-6</v>
      </c>
      <c r="I188">
        <v>77.7</v>
      </c>
      <c r="J188" t="str">
        <f>HYPERLINK("https://climate.onebuilding.org/WMO_Region_4_North_and_Central_America/USA_United_States_of_America/AR_Arkansas/USA_AR_Blytheville.Muni.AP.723409_US.Normals.2006-2020.zip")</f>
        <v>https://climate.onebuilding.org/WMO_Region_4_North_and_Central_America/USA_United_States_of_America/AR_Arkansas/USA_AR_Blytheville.Muni.AP.723409_US.Normals.2006-2020.zip</v>
      </c>
    </row>
    <row r="189" spans="1:10" x14ac:dyDescent="0.25">
      <c r="A189" t="s">
        <v>35</v>
      </c>
      <c r="B189" t="s">
        <v>136</v>
      </c>
      <c r="C189" t="s">
        <v>140</v>
      </c>
      <c r="D189" s="2">
        <v>743312</v>
      </c>
      <c r="E189" t="s">
        <v>13</v>
      </c>
      <c r="F189">
        <v>34.049999999999997</v>
      </c>
      <c r="G189">
        <v>-94.400800000000004</v>
      </c>
      <c r="H189">
        <v>-6</v>
      </c>
      <c r="I189">
        <v>108.2</v>
      </c>
      <c r="J189" t="str">
        <f>HYPERLINK("https://climate.onebuilding.org/WMO_Region_4_North_and_Central_America/USA_United_States_of_America/AR_Arkansas/USA_AR_De.Queen-Helms.Sevier.County.AP.743312_US.Normals.2006-2020.zip")</f>
        <v>https://climate.onebuilding.org/WMO_Region_4_North_and_Central_America/USA_United_States_of_America/AR_Arkansas/USA_AR_De.Queen-Helms.Sevier.County.AP.743312_US.Normals.2006-2020.zip</v>
      </c>
    </row>
    <row r="190" spans="1:10" x14ac:dyDescent="0.25">
      <c r="A190" t="s">
        <v>35</v>
      </c>
      <c r="B190" t="s">
        <v>136</v>
      </c>
      <c r="C190" t="s">
        <v>141</v>
      </c>
      <c r="D190" s="2">
        <v>723419</v>
      </c>
      <c r="E190" t="s">
        <v>13</v>
      </c>
      <c r="F190">
        <v>33.220799999999997</v>
      </c>
      <c r="G190">
        <v>-92.8142</v>
      </c>
      <c r="H190">
        <v>-6</v>
      </c>
      <c r="I190">
        <v>76.8</v>
      </c>
      <c r="J190" t="str">
        <f>HYPERLINK("https://climate.onebuilding.org/WMO_Region_4_North_and_Central_America/USA_United_States_of_America/AR_Arkansas/USA_AR_El.Dorado-South.Arkansas.Rgnl.AP-Goodwin.Field.723419_US.Normals.1991-2020.zip")</f>
        <v>https://climate.onebuilding.org/WMO_Region_4_North_and_Central_America/USA_United_States_of_America/AR_Arkansas/USA_AR_El.Dorado-South.Arkansas.Rgnl.AP-Goodwin.Field.723419_US.Normals.1991-2020.zip</v>
      </c>
    </row>
    <row r="191" spans="1:10" x14ac:dyDescent="0.25">
      <c r="A191" t="s">
        <v>35</v>
      </c>
      <c r="B191" t="s">
        <v>136</v>
      </c>
      <c r="C191" t="s">
        <v>141</v>
      </c>
      <c r="D191" s="2">
        <v>723419</v>
      </c>
      <c r="E191" t="s">
        <v>13</v>
      </c>
      <c r="F191">
        <v>33.220799999999997</v>
      </c>
      <c r="G191">
        <v>-92.8142</v>
      </c>
      <c r="H191">
        <v>-6</v>
      </c>
      <c r="I191">
        <v>76.8</v>
      </c>
      <c r="J191" t="str">
        <f>HYPERLINK("https://climate.onebuilding.org/WMO_Region_4_North_and_Central_America/USA_United_States_of_America/AR_Arkansas/USA_AR_El.Dorado-South.Arkansas.Rgnl.AP-Goodwin.Field.723419_US.Normals.2006-2020.zip")</f>
        <v>https://climate.onebuilding.org/WMO_Region_4_North_and_Central_America/USA_United_States_of_America/AR_Arkansas/USA_AR_El.Dorado-South.Arkansas.Rgnl.AP-Goodwin.Field.723419_US.Normals.2006-2020.zip</v>
      </c>
    </row>
    <row r="192" spans="1:10" x14ac:dyDescent="0.25">
      <c r="A192" t="s">
        <v>35</v>
      </c>
      <c r="B192" t="s">
        <v>136</v>
      </c>
      <c r="C192" t="s">
        <v>142</v>
      </c>
      <c r="D192" s="2">
        <v>723445</v>
      </c>
      <c r="E192" t="s">
        <v>13</v>
      </c>
      <c r="F192">
        <v>36.009700000000002</v>
      </c>
      <c r="G192">
        <v>-94.169399999999996</v>
      </c>
      <c r="H192">
        <v>-6</v>
      </c>
      <c r="I192">
        <v>381.3</v>
      </c>
      <c r="J192" t="str">
        <f>HYPERLINK("https://climate.onebuilding.org/WMO_Region_4_North_and_Central_America/USA_United_States_of_America/AR_Arkansas/USA_AR_Fayetteville.Exec.AP-Drake.Field.723445_US.Normals.1981-2010.zip")</f>
        <v>https://climate.onebuilding.org/WMO_Region_4_North_and_Central_America/USA_United_States_of_America/AR_Arkansas/USA_AR_Fayetteville.Exec.AP-Drake.Field.723445_US.Normals.1981-2010.zip</v>
      </c>
    </row>
    <row r="193" spans="1:10" x14ac:dyDescent="0.25">
      <c r="A193" t="s">
        <v>35</v>
      </c>
      <c r="B193" t="s">
        <v>136</v>
      </c>
      <c r="C193" t="s">
        <v>142</v>
      </c>
      <c r="D193" s="2">
        <v>723445</v>
      </c>
      <c r="E193" t="s">
        <v>13</v>
      </c>
      <c r="F193">
        <v>36.009700000000002</v>
      </c>
      <c r="G193">
        <v>-94.169399999999996</v>
      </c>
      <c r="H193">
        <v>-6</v>
      </c>
      <c r="I193">
        <v>381.3</v>
      </c>
      <c r="J193" t="str">
        <f>HYPERLINK("https://climate.onebuilding.org/WMO_Region_4_North_and_Central_America/USA_United_States_of_America/AR_Arkansas/USA_AR_Fayetteville.Exec.AP-Drake.Field.723445_US.Normals.1991-2020.zip")</f>
        <v>https://climate.onebuilding.org/WMO_Region_4_North_and_Central_America/USA_United_States_of_America/AR_Arkansas/USA_AR_Fayetteville.Exec.AP-Drake.Field.723445_US.Normals.1991-2020.zip</v>
      </c>
    </row>
    <row r="194" spans="1:10" x14ac:dyDescent="0.25">
      <c r="A194" t="s">
        <v>35</v>
      </c>
      <c r="B194" t="s">
        <v>136</v>
      </c>
      <c r="C194" t="s">
        <v>142</v>
      </c>
      <c r="D194" s="2">
        <v>723445</v>
      </c>
      <c r="E194" t="s">
        <v>13</v>
      </c>
      <c r="F194">
        <v>36.009700000000002</v>
      </c>
      <c r="G194">
        <v>-94.169399999999996</v>
      </c>
      <c r="H194">
        <v>-6</v>
      </c>
      <c r="I194">
        <v>381.3</v>
      </c>
      <c r="J194" t="str">
        <f>HYPERLINK("https://climate.onebuilding.org/WMO_Region_4_North_and_Central_America/USA_United_States_of_America/AR_Arkansas/USA_AR_Fayetteville.Exec.AP-Drake.Field.723445_US.Normals.2006-2020.zip")</f>
        <v>https://climate.onebuilding.org/WMO_Region_4_North_and_Central_America/USA_United_States_of_America/AR_Arkansas/USA_AR_Fayetteville.Exec.AP-Drake.Field.723445_US.Normals.2006-2020.zip</v>
      </c>
    </row>
    <row r="195" spans="1:10" x14ac:dyDescent="0.25">
      <c r="A195" t="s">
        <v>35</v>
      </c>
      <c r="B195" t="s">
        <v>136</v>
      </c>
      <c r="C195" t="s">
        <v>143</v>
      </c>
      <c r="D195" s="2">
        <v>723440</v>
      </c>
      <c r="E195" t="s">
        <v>13</v>
      </c>
      <c r="F195">
        <v>35.333100000000002</v>
      </c>
      <c r="G195">
        <v>-94.362499999999997</v>
      </c>
      <c r="H195">
        <v>-6</v>
      </c>
      <c r="I195">
        <v>136.9</v>
      </c>
      <c r="J195" t="str">
        <f>HYPERLINK("https://climate.onebuilding.org/WMO_Region_4_North_and_Central_America/USA_United_States_of_America/AR_Arkansas/USA_AR_Fort.Smith.Rgnl.AP.723440_US.Normals.1981-2010.zip")</f>
        <v>https://climate.onebuilding.org/WMO_Region_4_North_and_Central_America/USA_United_States_of_America/AR_Arkansas/USA_AR_Fort.Smith.Rgnl.AP.723440_US.Normals.1981-2010.zip</v>
      </c>
    </row>
    <row r="196" spans="1:10" x14ac:dyDescent="0.25">
      <c r="A196" t="s">
        <v>35</v>
      </c>
      <c r="B196" t="s">
        <v>136</v>
      </c>
      <c r="C196" t="s">
        <v>143</v>
      </c>
      <c r="D196" s="2">
        <v>723440</v>
      </c>
      <c r="E196" t="s">
        <v>13</v>
      </c>
      <c r="F196">
        <v>35.333100000000002</v>
      </c>
      <c r="G196">
        <v>-94.362499999999997</v>
      </c>
      <c r="H196">
        <v>-6</v>
      </c>
      <c r="I196">
        <v>136.9</v>
      </c>
      <c r="J196" t="str">
        <f>HYPERLINK("https://climate.onebuilding.org/WMO_Region_4_North_and_Central_America/USA_United_States_of_America/AR_Arkansas/USA_AR_Fort.Smith.Rgnl.AP.723440_US.Normals.1991-2020.zip")</f>
        <v>https://climate.onebuilding.org/WMO_Region_4_North_and_Central_America/USA_United_States_of_America/AR_Arkansas/USA_AR_Fort.Smith.Rgnl.AP.723440_US.Normals.1991-2020.zip</v>
      </c>
    </row>
    <row r="197" spans="1:10" x14ac:dyDescent="0.25">
      <c r="A197" t="s">
        <v>35</v>
      </c>
      <c r="B197" t="s">
        <v>136</v>
      </c>
      <c r="C197" t="s">
        <v>143</v>
      </c>
      <c r="D197" s="2">
        <v>723440</v>
      </c>
      <c r="E197" t="s">
        <v>13</v>
      </c>
      <c r="F197">
        <v>35.333100000000002</v>
      </c>
      <c r="G197">
        <v>-94.362499999999997</v>
      </c>
      <c r="H197">
        <v>-6</v>
      </c>
      <c r="I197">
        <v>136.9</v>
      </c>
      <c r="J197" t="str">
        <f>HYPERLINK("https://climate.onebuilding.org/WMO_Region_4_North_and_Central_America/USA_United_States_of_America/AR_Arkansas/USA_AR_Fort.Smith.Rgnl.AP.723440_US.Normals.2006-2020.zip")</f>
        <v>https://climate.onebuilding.org/WMO_Region_4_North_and_Central_America/USA_United_States_of_America/AR_Arkansas/USA_AR_Fort.Smith.Rgnl.AP.723440_US.Normals.2006-2020.zip</v>
      </c>
    </row>
    <row r="198" spans="1:10" x14ac:dyDescent="0.25">
      <c r="A198" t="s">
        <v>35</v>
      </c>
      <c r="B198" t="s">
        <v>136</v>
      </c>
      <c r="C198" t="s">
        <v>144</v>
      </c>
      <c r="D198" s="2">
        <v>723450</v>
      </c>
      <c r="E198" t="s">
        <v>13</v>
      </c>
      <c r="F198">
        <v>36.2667</v>
      </c>
      <c r="G198">
        <v>-93.156700000000001</v>
      </c>
      <c r="H198">
        <v>-6</v>
      </c>
      <c r="I198">
        <v>418.8</v>
      </c>
      <c r="J198" t="str">
        <f>HYPERLINK("https://climate.onebuilding.org/WMO_Region_4_North_and_Central_America/USA_United_States_of_America/AR_Arkansas/USA_AR_Harrison-Boone.County.Rgnl.AP.723450_US.Normals.2006-2020.zip")</f>
        <v>https://climate.onebuilding.org/WMO_Region_4_North_and_Central_America/USA_United_States_of_America/AR_Arkansas/USA_AR_Harrison-Boone.County.Rgnl.AP.723450_US.Normals.2006-2020.zip</v>
      </c>
    </row>
    <row r="199" spans="1:10" x14ac:dyDescent="0.25">
      <c r="A199" t="s">
        <v>35</v>
      </c>
      <c r="B199" t="s">
        <v>136</v>
      </c>
      <c r="C199" t="s">
        <v>145</v>
      </c>
      <c r="D199" s="2">
        <v>723415</v>
      </c>
      <c r="E199" t="s">
        <v>13</v>
      </c>
      <c r="F199">
        <v>34.482320000000001</v>
      </c>
      <c r="G199">
        <v>-93.09778</v>
      </c>
      <c r="H199">
        <v>-6</v>
      </c>
      <c r="I199">
        <v>165</v>
      </c>
      <c r="J199" t="str">
        <f>HYPERLINK("https://climate.onebuilding.org/WMO_Region_4_North_and_Central_America/USA_United_States_of_America/AR_Arkansas/USA_AR_Hot.Springs-Meml.Field.AP.723415_US.Normals.2006-2020.zip")</f>
        <v>https://climate.onebuilding.org/WMO_Region_4_North_and_Central_America/USA_United_States_of_America/AR_Arkansas/USA_AR_Hot.Springs-Meml.Field.AP.723415_US.Normals.2006-2020.zip</v>
      </c>
    </row>
    <row r="200" spans="1:10" x14ac:dyDescent="0.25">
      <c r="A200" t="s">
        <v>35</v>
      </c>
      <c r="B200" t="s">
        <v>136</v>
      </c>
      <c r="C200" t="s">
        <v>146</v>
      </c>
      <c r="D200" s="2">
        <v>723407</v>
      </c>
      <c r="E200" t="s">
        <v>13</v>
      </c>
      <c r="F200">
        <v>35.831099999999999</v>
      </c>
      <c r="G200">
        <v>-90.6464</v>
      </c>
      <c r="H200">
        <v>-6</v>
      </c>
      <c r="I200">
        <v>79.900000000000006</v>
      </c>
      <c r="J200" t="str">
        <f>HYPERLINK("https://climate.onebuilding.org/WMO_Region_4_North_and_Central_America/USA_United_States_of_America/AR_Arkansas/USA_AR_Jonesboro.Muni.AP.723407_US.Normals.2006-2020.zip")</f>
        <v>https://climate.onebuilding.org/WMO_Region_4_North_and_Central_America/USA_United_States_of_America/AR_Arkansas/USA_AR_Jonesboro.Muni.AP.723407_US.Normals.2006-2020.zip</v>
      </c>
    </row>
    <row r="201" spans="1:10" x14ac:dyDescent="0.25">
      <c r="A201" t="s">
        <v>35</v>
      </c>
      <c r="B201" t="s">
        <v>136</v>
      </c>
      <c r="C201" t="s">
        <v>147</v>
      </c>
      <c r="D201" s="2">
        <v>723403</v>
      </c>
      <c r="E201" t="s">
        <v>13</v>
      </c>
      <c r="F201">
        <v>34.727200000000003</v>
      </c>
      <c r="G201">
        <v>-92.238900000000001</v>
      </c>
      <c r="H201">
        <v>-6</v>
      </c>
      <c r="I201">
        <v>78.599999999999994</v>
      </c>
      <c r="J201" t="str">
        <f>HYPERLINK("https://climate.onebuilding.org/WMO_Region_4_North_and_Central_America/USA_United_States_of_America/AR_Arkansas/USA_AR_Little.Rock-Clinton.Natl.AP-Adams.Field.723403_US.Normals.2006-2020.zip")</f>
        <v>https://climate.onebuilding.org/WMO_Region_4_North_and_Central_America/USA_United_States_of_America/AR_Arkansas/USA_AR_Little.Rock-Clinton.Natl.AP-Adams.Field.723403_US.Normals.2006-2020.zip</v>
      </c>
    </row>
    <row r="202" spans="1:10" x14ac:dyDescent="0.25">
      <c r="A202" t="s">
        <v>35</v>
      </c>
      <c r="B202" t="s">
        <v>136</v>
      </c>
      <c r="C202" t="s">
        <v>147</v>
      </c>
      <c r="D202" s="2">
        <v>723403</v>
      </c>
      <c r="E202" t="s">
        <v>13</v>
      </c>
      <c r="F202">
        <v>34.727200000000003</v>
      </c>
      <c r="G202">
        <v>-92.238900000000001</v>
      </c>
      <c r="H202">
        <v>-6</v>
      </c>
      <c r="I202">
        <v>78.599999999999994</v>
      </c>
      <c r="J202" t="str">
        <f>HYPERLINK("https://climate.onebuilding.org/WMO_Region_4_North_and_Central_America/USA_United_States_of_America/AR_Arkansas/USA_AR_Little.Rock-Clinton.Natl.AP-Adams.Field.723403_US.Normals.1981-2010.zip")</f>
        <v>https://climate.onebuilding.org/WMO_Region_4_North_and_Central_America/USA_United_States_of_America/AR_Arkansas/USA_AR_Little.Rock-Clinton.Natl.AP-Adams.Field.723403_US.Normals.1981-2010.zip</v>
      </c>
    </row>
    <row r="203" spans="1:10" x14ac:dyDescent="0.25">
      <c r="A203" t="s">
        <v>35</v>
      </c>
      <c r="B203" t="s">
        <v>136</v>
      </c>
      <c r="C203" t="s">
        <v>147</v>
      </c>
      <c r="D203" s="2">
        <v>723403</v>
      </c>
      <c r="E203" t="s">
        <v>13</v>
      </c>
      <c r="F203">
        <v>34.727200000000003</v>
      </c>
      <c r="G203">
        <v>-92.238900000000001</v>
      </c>
      <c r="H203">
        <v>-6</v>
      </c>
      <c r="I203">
        <v>78.599999999999994</v>
      </c>
      <c r="J203" t="str">
        <f>HYPERLINK("https://climate.onebuilding.org/WMO_Region_4_North_and_Central_America/USA_United_States_of_America/AR_Arkansas/USA_AR_Little.Rock-Clinton.Natl.AP-Adams.Field.723403_US.Normals.1991-2020.zip")</f>
        <v>https://climate.onebuilding.org/WMO_Region_4_North_and_Central_America/USA_United_States_of_America/AR_Arkansas/USA_AR_Little.Rock-Clinton.Natl.AP-Adams.Field.723403_US.Normals.1991-2020.zip</v>
      </c>
    </row>
    <row r="204" spans="1:10" x14ac:dyDescent="0.25">
      <c r="A204" t="s">
        <v>35</v>
      </c>
      <c r="B204" t="s">
        <v>136</v>
      </c>
      <c r="C204" t="s">
        <v>148</v>
      </c>
      <c r="D204" s="2">
        <v>723405</v>
      </c>
      <c r="E204" t="s">
        <v>13</v>
      </c>
      <c r="F204">
        <v>34.916699999999999</v>
      </c>
      <c r="G204">
        <v>-92.15</v>
      </c>
      <c r="H204">
        <v>-6</v>
      </c>
      <c r="I204">
        <v>103</v>
      </c>
      <c r="J204" t="str">
        <f>HYPERLINK("https://climate.onebuilding.org/WMO_Region_4_North_and_Central_America/USA_United_States_of_America/AR_Arkansas/USA_AR_Little.Rock.AFB.723405_US.Normals.1991-2020.zip")</f>
        <v>https://climate.onebuilding.org/WMO_Region_4_North_and_Central_America/USA_United_States_of_America/AR_Arkansas/USA_AR_Little.Rock.AFB.723405_US.Normals.1991-2020.zip</v>
      </c>
    </row>
    <row r="205" spans="1:10" x14ac:dyDescent="0.25">
      <c r="A205" t="s">
        <v>35</v>
      </c>
      <c r="B205" t="s">
        <v>136</v>
      </c>
      <c r="C205" t="s">
        <v>148</v>
      </c>
      <c r="D205" s="2">
        <v>723405</v>
      </c>
      <c r="E205" t="s">
        <v>13</v>
      </c>
      <c r="F205">
        <v>34.916699999999999</v>
      </c>
      <c r="G205">
        <v>-92.15</v>
      </c>
      <c r="H205">
        <v>-6</v>
      </c>
      <c r="I205">
        <v>103</v>
      </c>
      <c r="J205" t="str">
        <f>HYPERLINK("https://climate.onebuilding.org/WMO_Region_4_North_and_Central_America/USA_United_States_of_America/AR_Arkansas/USA_AR_Little.Rock.AFB.723405_US.Normals.2006-2020.zip")</f>
        <v>https://climate.onebuilding.org/WMO_Region_4_North_and_Central_America/USA_United_States_of_America/AR_Arkansas/USA_AR_Little.Rock.AFB.723405_US.Normals.2006-2020.zip</v>
      </c>
    </row>
    <row r="206" spans="1:10" x14ac:dyDescent="0.25">
      <c r="A206" t="s">
        <v>35</v>
      </c>
      <c r="B206" t="s">
        <v>136</v>
      </c>
      <c r="C206" t="s">
        <v>149</v>
      </c>
      <c r="D206" s="2">
        <v>723439</v>
      </c>
      <c r="E206" t="s">
        <v>13</v>
      </c>
      <c r="F206">
        <v>36.368899999999996</v>
      </c>
      <c r="G206">
        <v>-92.470299999999995</v>
      </c>
      <c r="H206">
        <v>-6</v>
      </c>
      <c r="I206">
        <v>282.89999999999998</v>
      </c>
      <c r="J206" t="str">
        <f>HYPERLINK("https://climate.onebuilding.org/WMO_Region_4_North_and_Central_America/USA_United_States_of_America/AR_Arkansas/USA_AR_Midway-Ozark.Rgnl.AP.723439_US.Normals.2006-2020.zip")</f>
        <v>https://climate.onebuilding.org/WMO_Region_4_North_and_Central_America/USA_United_States_of_America/AR_Arkansas/USA_AR_Midway-Ozark.Rgnl.AP.723439_US.Normals.2006-2020.zip</v>
      </c>
    </row>
    <row r="207" spans="1:10" x14ac:dyDescent="0.25">
      <c r="A207" t="s">
        <v>35</v>
      </c>
      <c r="B207" t="s">
        <v>136</v>
      </c>
      <c r="C207" t="s">
        <v>150</v>
      </c>
      <c r="D207" s="2">
        <v>720175</v>
      </c>
      <c r="E207" t="s">
        <v>13</v>
      </c>
      <c r="F207">
        <v>33.636099999999999</v>
      </c>
      <c r="G207">
        <v>-91.755600000000001</v>
      </c>
      <c r="H207">
        <v>-6</v>
      </c>
      <c r="I207">
        <v>88.4</v>
      </c>
      <c r="J207" t="str">
        <f>HYPERLINK("https://climate.onebuilding.org/WMO_Region_4_North_and_Central_America/USA_United_States_of_America/AR_Arkansas/USA_AR_Monticello.Muni.AP-Ellis.Field.720175_US.Normals.2006-2020.zip")</f>
        <v>https://climate.onebuilding.org/WMO_Region_4_North_and_Central_America/USA_United_States_of_America/AR_Arkansas/USA_AR_Monticello.Muni.AP-Ellis.Field.720175_US.Normals.2006-2020.zip</v>
      </c>
    </row>
    <row r="208" spans="1:10" x14ac:dyDescent="0.25">
      <c r="A208" t="s">
        <v>35</v>
      </c>
      <c r="B208" t="s">
        <v>136</v>
      </c>
      <c r="C208" t="s">
        <v>151</v>
      </c>
      <c r="D208" s="2">
        <v>723435</v>
      </c>
      <c r="E208" t="s">
        <v>13</v>
      </c>
      <c r="F208">
        <v>34.546700000000001</v>
      </c>
      <c r="G208">
        <v>-93.578100000000006</v>
      </c>
      <c r="H208">
        <v>-6</v>
      </c>
      <c r="I208">
        <v>214</v>
      </c>
      <c r="J208" t="str">
        <f>HYPERLINK("https://climate.onebuilding.org/WMO_Region_4_North_and_Central_America/USA_United_States_of_America/AR_Arkansas/USA_AR_Mount.Ida.723435_US.Normals.2006-2020.zip")</f>
        <v>https://climate.onebuilding.org/WMO_Region_4_North_and_Central_America/USA_United_States_of_America/AR_Arkansas/USA_AR_Mount.Ida.723435_US.Normals.2006-2020.zip</v>
      </c>
    </row>
    <row r="209" spans="1:10" x14ac:dyDescent="0.25">
      <c r="A209" t="s">
        <v>35</v>
      </c>
      <c r="B209" t="s">
        <v>136</v>
      </c>
      <c r="C209" t="s">
        <v>152</v>
      </c>
      <c r="D209" s="2">
        <v>723417</v>
      </c>
      <c r="E209" t="s">
        <v>13</v>
      </c>
      <c r="F209">
        <v>34.174999999999997</v>
      </c>
      <c r="G209">
        <v>-91.934700000000007</v>
      </c>
      <c r="H209">
        <v>-6</v>
      </c>
      <c r="I209">
        <v>63.1</v>
      </c>
      <c r="J209" t="str">
        <f>HYPERLINK("https://climate.onebuilding.org/WMO_Region_4_North_and_Central_America/USA_United_States_of_America/AR_Arkansas/USA_AR_Pine.Bluff-Grider.Field.723417_US.Normals.1991-2020.zip")</f>
        <v>https://climate.onebuilding.org/WMO_Region_4_North_and_Central_America/USA_United_States_of_America/AR_Arkansas/USA_AR_Pine.Bluff-Grider.Field.723417_US.Normals.1991-2020.zip</v>
      </c>
    </row>
    <row r="210" spans="1:10" x14ac:dyDescent="0.25">
      <c r="A210" t="s">
        <v>35</v>
      </c>
      <c r="B210" t="s">
        <v>136</v>
      </c>
      <c r="C210" t="s">
        <v>152</v>
      </c>
      <c r="D210" s="2">
        <v>723417</v>
      </c>
      <c r="E210" t="s">
        <v>13</v>
      </c>
      <c r="F210">
        <v>34.174999999999997</v>
      </c>
      <c r="G210">
        <v>-91.934700000000007</v>
      </c>
      <c r="H210">
        <v>-6</v>
      </c>
      <c r="I210">
        <v>63.1</v>
      </c>
      <c r="J210" t="str">
        <f>HYPERLINK("https://climate.onebuilding.org/WMO_Region_4_North_and_Central_America/USA_United_States_of_America/AR_Arkansas/USA_AR_Pine.Bluff-Grider.Field.723417_US.Normals.2006-2020.zip")</f>
        <v>https://climate.onebuilding.org/WMO_Region_4_North_and_Central_America/USA_United_States_of_America/AR_Arkansas/USA_AR_Pine.Bluff-Grider.Field.723417_US.Normals.2006-2020.zip</v>
      </c>
    </row>
    <row r="211" spans="1:10" x14ac:dyDescent="0.25">
      <c r="A211" t="s">
        <v>35</v>
      </c>
      <c r="B211" t="s">
        <v>136</v>
      </c>
      <c r="C211" t="s">
        <v>153</v>
      </c>
      <c r="D211" s="2">
        <v>723429</v>
      </c>
      <c r="E211" t="s">
        <v>13</v>
      </c>
      <c r="F211">
        <v>35.257800000000003</v>
      </c>
      <c r="G211">
        <v>-93.094700000000003</v>
      </c>
      <c r="H211">
        <v>-6</v>
      </c>
      <c r="I211">
        <v>122.8</v>
      </c>
      <c r="J211" t="str">
        <f>HYPERLINK("https://climate.onebuilding.org/WMO_Region_4_North_and_Central_America/USA_United_States_of_America/AR_Arkansas/USA_AR_Russellville.Rgnl.AP.723429_US.Normals.2006-2020.zip")</f>
        <v>https://climate.onebuilding.org/WMO_Region_4_North_and_Central_America/USA_United_States_of_America/AR_Arkansas/USA_AR_Russellville.Rgnl.AP.723429_US.Normals.2006-2020.zip</v>
      </c>
    </row>
    <row r="212" spans="1:10" x14ac:dyDescent="0.25">
      <c r="A212" t="s">
        <v>35</v>
      </c>
      <c r="B212" t="s">
        <v>136</v>
      </c>
      <c r="C212" t="s">
        <v>154</v>
      </c>
      <c r="D212" s="2">
        <v>723418</v>
      </c>
      <c r="E212" t="s">
        <v>13</v>
      </c>
      <c r="F212">
        <v>33.453600000000002</v>
      </c>
      <c r="G212">
        <v>-94.007499999999993</v>
      </c>
      <c r="H212">
        <v>-6</v>
      </c>
      <c r="I212">
        <v>110</v>
      </c>
      <c r="J212" t="str">
        <f>HYPERLINK("https://climate.onebuilding.org/WMO_Region_4_North_and_Central_America/USA_United_States_of_America/AR_Arkansas/USA_AR_Texarkana.Rgnl.AP-Webb.Field.723418_US.Normals.1981-2010.zip")</f>
        <v>https://climate.onebuilding.org/WMO_Region_4_North_and_Central_America/USA_United_States_of_America/AR_Arkansas/USA_AR_Texarkana.Rgnl.AP-Webb.Field.723418_US.Normals.1981-2010.zip</v>
      </c>
    </row>
    <row r="213" spans="1:10" x14ac:dyDescent="0.25">
      <c r="A213" t="s">
        <v>35</v>
      </c>
      <c r="B213" t="s">
        <v>136</v>
      </c>
      <c r="C213" t="s">
        <v>154</v>
      </c>
      <c r="D213" s="2">
        <v>723418</v>
      </c>
      <c r="E213" t="s">
        <v>13</v>
      </c>
      <c r="F213">
        <v>33.453600000000002</v>
      </c>
      <c r="G213">
        <v>-94.007499999999993</v>
      </c>
      <c r="H213">
        <v>-6</v>
      </c>
      <c r="I213">
        <v>110</v>
      </c>
      <c r="J213" t="str">
        <f>HYPERLINK("https://climate.onebuilding.org/WMO_Region_4_North_and_Central_America/USA_United_States_of_America/AR_Arkansas/USA_AR_Texarkana.Rgnl.AP-Webb.Field.723418_US.Normals.1991-2020.zip")</f>
        <v>https://climate.onebuilding.org/WMO_Region_4_North_and_Central_America/USA_United_States_of_America/AR_Arkansas/USA_AR_Texarkana.Rgnl.AP-Webb.Field.723418_US.Normals.1991-2020.zip</v>
      </c>
    </row>
    <row r="214" spans="1:10" x14ac:dyDescent="0.25">
      <c r="A214" t="s">
        <v>35</v>
      </c>
      <c r="B214" t="s">
        <v>136</v>
      </c>
      <c r="C214" t="s">
        <v>154</v>
      </c>
      <c r="D214" s="2">
        <v>723418</v>
      </c>
      <c r="E214" t="s">
        <v>13</v>
      </c>
      <c r="F214">
        <v>33.453600000000002</v>
      </c>
      <c r="G214">
        <v>-94.007499999999993</v>
      </c>
      <c r="H214">
        <v>-6</v>
      </c>
      <c r="I214">
        <v>110</v>
      </c>
      <c r="J214" t="str">
        <f>HYPERLINK("https://climate.onebuilding.org/WMO_Region_4_North_and_Central_America/USA_United_States_of_America/AR_Arkansas/USA_AR_Texarkana.Rgnl.AP-Webb.Field.723418_US.Normals.2006-2020.zip")</f>
        <v>https://climate.onebuilding.org/WMO_Region_4_North_and_Central_America/USA_United_States_of_America/AR_Arkansas/USA_AR_Texarkana.Rgnl.AP-Webb.Field.723418_US.Normals.2006-2020.zip</v>
      </c>
    </row>
    <row r="215" spans="1:10" x14ac:dyDescent="0.25">
      <c r="A215" t="s">
        <v>35</v>
      </c>
      <c r="B215" t="s">
        <v>136</v>
      </c>
      <c r="C215" t="s">
        <v>155</v>
      </c>
      <c r="D215" s="2">
        <v>723406</v>
      </c>
      <c r="E215" t="s">
        <v>13</v>
      </c>
      <c r="F215">
        <v>36.133299999999998</v>
      </c>
      <c r="G215">
        <v>-90.933300000000003</v>
      </c>
      <c r="H215">
        <v>-6</v>
      </c>
      <c r="I215">
        <v>82.9</v>
      </c>
      <c r="J215" t="str">
        <f>HYPERLINK("https://climate.onebuilding.org/WMO_Region_4_North_and_Central_America/USA_United_States_of_America/AR_Arkansas/USA_AR_Walnut.Ridge.Rgnl.AP.723406_US.Normals.2006-2020.zip")</f>
        <v>https://climate.onebuilding.org/WMO_Region_4_North_and_Central_America/USA_United_States_of_America/AR_Arkansas/USA_AR_Walnut.Ridge.Rgnl.AP.723406_US.Normals.2006-2020.zip</v>
      </c>
    </row>
    <row r="216" spans="1:10" x14ac:dyDescent="0.25">
      <c r="A216" t="s">
        <v>35</v>
      </c>
      <c r="B216" t="s">
        <v>136</v>
      </c>
      <c r="C216" t="s">
        <v>156</v>
      </c>
      <c r="D216" s="2">
        <v>722054</v>
      </c>
      <c r="E216" t="s">
        <v>13</v>
      </c>
      <c r="F216">
        <v>35.134999999999998</v>
      </c>
      <c r="G216">
        <v>-90.234399999999994</v>
      </c>
      <c r="H216">
        <v>-6</v>
      </c>
      <c r="I216">
        <v>65.2</v>
      </c>
      <c r="J216" t="str">
        <f>HYPERLINK("https://climate.onebuilding.org/WMO_Region_4_North_and_Central_America/USA_United_States_of_America/AR_Arkansas/USA_AR_West.Memphis.Muni.AP.722054_US.Normals.2006-2020.zip")</f>
        <v>https://climate.onebuilding.org/WMO_Region_4_North_and_Central_America/USA_United_States_of_America/AR_Arkansas/USA_AR_West.Memphis.Muni.AP.722054_US.Normals.2006-2020.zip</v>
      </c>
    </row>
    <row r="217" spans="1:10" x14ac:dyDescent="0.25">
      <c r="A217" t="s">
        <v>35</v>
      </c>
      <c r="B217" t="s">
        <v>157</v>
      </c>
      <c r="C217" t="s">
        <v>158</v>
      </c>
      <c r="D217" s="2">
        <v>722750</v>
      </c>
      <c r="E217" t="s">
        <v>13</v>
      </c>
      <c r="F217">
        <v>32.239400000000003</v>
      </c>
      <c r="G217">
        <v>-111.16970000000001</v>
      </c>
      <c r="H217">
        <v>-7</v>
      </c>
      <c r="I217">
        <v>833</v>
      </c>
      <c r="J217" t="str">
        <f>HYPERLINK("https://climate.onebuilding.org/WMO_Region_4_North_and_Central_America/USA_United_States_of_America/AZ_Arizona/USA_AZ_Arizona-Sonora.Desert.Museum.722750_US.Normals.2006-2020.zip")</f>
        <v>https://climate.onebuilding.org/WMO_Region_4_North_and_Central_America/USA_United_States_of_America/AZ_Arizona/USA_AZ_Arizona-Sonora.Desert.Museum.722750_US.Normals.2006-2020.zip</v>
      </c>
    </row>
    <row r="218" spans="1:10" x14ac:dyDescent="0.25">
      <c r="A218" t="s">
        <v>35</v>
      </c>
      <c r="B218" t="s">
        <v>157</v>
      </c>
      <c r="C218" t="s">
        <v>159</v>
      </c>
      <c r="D218" s="2">
        <v>722770</v>
      </c>
      <c r="E218" t="s">
        <v>13</v>
      </c>
      <c r="F218">
        <v>35.755299999999998</v>
      </c>
      <c r="G218">
        <v>-112.33750000000001</v>
      </c>
      <c r="H218">
        <v>-7</v>
      </c>
      <c r="I218">
        <v>1825.8</v>
      </c>
      <c r="J218" t="str">
        <f>HYPERLINK("https://climate.onebuilding.org/WMO_Region_4_North_and_Central_America/USA_United_States_of_America/AZ_Arizona/USA_AZ_Babbitt.Ranches.Meridian.Site.722770_US.Normals.2006-2020.zip")</f>
        <v>https://climate.onebuilding.org/WMO_Region_4_North_and_Central_America/USA_United_States_of_America/AZ_Arizona/USA_AZ_Babbitt.Ranches.Meridian.Site.722770_US.Normals.2006-2020.zip</v>
      </c>
    </row>
    <row r="219" spans="1:10" x14ac:dyDescent="0.25">
      <c r="A219" t="s">
        <v>35</v>
      </c>
      <c r="B219" t="s">
        <v>157</v>
      </c>
      <c r="C219" t="s">
        <v>160</v>
      </c>
      <c r="D219" s="2">
        <v>722760</v>
      </c>
      <c r="E219" t="s">
        <v>13</v>
      </c>
      <c r="F219">
        <v>31.590800000000002</v>
      </c>
      <c r="G219">
        <v>-110.5086</v>
      </c>
      <c r="H219">
        <v>-7</v>
      </c>
      <c r="I219">
        <v>1466.4</v>
      </c>
      <c r="J219" t="str">
        <f>HYPERLINK("https://climate.onebuilding.org/WMO_Region_4_North_and_Central_America/USA_United_States_of_America/AZ_Arizona/USA_AZ_Elgin-Audubon.Appleton.Whittell.Research.Center.722760_US.Normals.2006-2020.zip")</f>
        <v>https://climate.onebuilding.org/WMO_Region_4_North_and_Central_America/USA_United_States_of_America/AZ_Arizona/USA_AZ_Elgin-Audubon.Appleton.Whittell.Research.Center.722760_US.Normals.2006-2020.zip</v>
      </c>
    </row>
    <row r="220" spans="1:10" x14ac:dyDescent="0.25">
      <c r="A220" t="s">
        <v>35</v>
      </c>
      <c r="B220" t="s">
        <v>157</v>
      </c>
      <c r="C220" t="s">
        <v>161</v>
      </c>
      <c r="D220" s="2">
        <v>723750</v>
      </c>
      <c r="E220" t="s">
        <v>13</v>
      </c>
      <c r="F220">
        <v>35.144199999999998</v>
      </c>
      <c r="G220">
        <v>-111.6664</v>
      </c>
      <c r="H220">
        <v>-7</v>
      </c>
      <c r="I220">
        <v>2134.5</v>
      </c>
      <c r="J220" t="str">
        <f>HYPERLINK("https://climate.onebuilding.org/WMO_Region_4_North_and_Central_America/USA_United_States_of_America/AZ_Arizona/USA_AZ_Flagstaff.Pulliam.AP.723750_US.Normals.1981-2010.zip")</f>
        <v>https://climate.onebuilding.org/WMO_Region_4_North_and_Central_America/USA_United_States_of_America/AZ_Arizona/USA_AZ_Flagstaff.Pulliam.AP.723750_US.Normals.1981-2010.zip</v>
      </c>
    </row>
    <row r="221" spans="1:10" x14ac:dyDescent="0.25">
      <c r="A221" t="s">
        <v>35</v>
      </c>
      <c r="B221" t="s">
        <v>157</v>
      </c>
      <c r="C221" t="s">
        <v>161</v>
      </c>
      <c r="D221" s="2">
        <v>723750</v>
      </c>
      <c r="E221" t="s">
        <v>13</v>
      </c>
      <c r="F221">
        <v>35.144199999999998</v>
      </c>
      <c r="G221">
        <v>-111.6664</v>
      </c>
      <c r="H221">
        <v>-7</v>
      </c>
      <c r="I221">
        <v>2134.5</v>
      </c>
      <c r="J221" t="str">
        <f>HYPERLINK("https://climate.onebuilding.org/WMO_Region_4_North_and_Central_America/USA_United_States_of_America/AZ_Arizona/USA_AZ_Flagstaff.Pulliam.AP.723750_US.Normals.2006-2020.zip")</f>
        <v>https://climate.onebuilding.org/WMO_Region_4_North_and_Central_America/USA_United_States_of_America/AZ_Arizona/USA_AZ_Flagstaff.Pulliam.AP.723750_US.Normals.2006-2020.zip</v>
      </c>
    </row>
    <row r="222" spans="1:10" x14ac:dyDescent="0.25">
      <c r="A222" t="s">
        <v>35</v>
      </c>
      <c r="B222" t="s">
        <v>157</v>
      </c>
      <c r="C222" t="s">
        <v>162</v>
      </c>
      <c r="D222" s="2">
        <v>722730</v>
      </c>
      <c r="E222" t="s">
        <v>13</v>
      </c>
      <c r="F222">
        <v>31.5883</v>
      </c>
      <c r="G222">
        <v>-110.3442</v>
      </c>
      <c r="H222">
        <v>-7</v>
      </c>
      <c r="I222">
        <v>1438.4</v>
      </c>
      <c r="J222" t="str">
        <f>HYPERLINK("https://climate.onebuilding.org/WMO_Region_4_North_and_Central_America/USA_United_States_of_America/AZ_Arizona/USA_AZ_Ft.Huachuca-Sierra.Vista.Muni.AP.722730_US.Normals.2006-2020.zip")</f>
        <v>https://climate.onebuilding.org/WMO_Region_4_North_and_Central_America/USA_United_States_of_America/AZ_Arizona/USA_AZ_Ft.Huachuca-Sierra.Vista.Muni.AP.722730_US.Normals.2006-2020.zip</v>
      </c>
    </row>
    <row r="223" spans="1:10" x14ac:dyDescent="0.25">
      <c r="A223" t="s">
        <v>35</v>
      </c>
      <c r="B223" t="s">
        <v>157</v>
      </c>
      <c r="C223" t="s">
        <v>163</v>
      </c>
      <c r="D223" s="2">
        <v>722785</v>
      </c>
      <c r="E223" t="s">
        <v>13</v>
      </c>
      <c r="F223">
        <v>33.549999999999997</v>
      </c>
      <c r="G223">
        <v>-112.36669999999999</v>
      </c>
      <c r="H223">
        <v>-7</v>
      </c>
      <c r="I223">
        <v>331</v>
      </c>
      <c r="J223" t="str">
        <f>HYPERLINK("https://climate.onebuilding.org/WMO_Region_4_North_and_Central_America/USA_United_States_of_America/AZ_Arizona/USA_AZ_Glendale-Luke.AFB.722785_US.Normals.2006-2020.zip")</f>
        <v>https://climate.onebuilding.org/WMO_Region_4_North_and_Central_America/USA_United_States_of_America/AZ_Arizona/USA_AZ_Glendale-Luke.AFB.722785_US.Normals.2006-2020.zip</v>
      </c>
    </row>
    <row r="224" spans="1:10" x14ac:dyDescent="0.25">
      <c r="A224" t="s">
        <v>35</v>
      </c>
      <c r="B224" t="s">
        <v>157</v>
      </c>
      <c r="C224" t="s">
        <v>164</v>
      </c>
      <c r="D224" s="2">
        <v>723783</v>
      </c>
      <c r="E224" t="s">
        <v>13</v>
      </c>
      <c r="F224">
        <v>35.946100000000001</v>
      </c>
      <c r="G224">
        <v>-112.15470000000001</v>
      </c>
      <c r="H224">
        <v>-7</v>
      </c>
      <c r="I224">
        <v>2013.5</v>
      </c>
      <c r="J224" t="str">
        <f>HYPERLINK("https://climate.onebuilding.org/WMO_Region_4_North_and_Central_America/USA_United_States_of_America/AZ_Arizona/USA_AZ_Grand.Canyon.Natl.Park.AP.723783_US.Normals.1991-2020.zip")</f>
        <v>https://climate.onebuilding.org/WMO_Region_4_North_and_Central_America/USA_United_States_of_America/AZ_Arizona/USA_AZ_Grand.Canyon.Natl.Park.AP.723783_US.Normals.1991-2020.zip</v>
      </c>
    </row>
    <row r="225" spans="1:10" x14ac:dyDescent="0.25">
      <c r="A225" t="s">
        <v>35</v>
      </c>
      <c r="B225" t="s">
        <v>157</v>
      </c>
      <c r="C225" t="s">
        <v>164</v>
      </c>
      <c r="D225" s="2">
        <v>723783</v>
      </c>
      <c r="E225" t="s">
        <v>13</v>
      </c>
      <c r="F225">
        <v>35.946100000000001</v>
      </c>
      <c r="G225">
        <v>-112.15470000000001</v>
      </c>
      <c r="H225">
        <v>-7</v>
      </c>
      <c r="I225">
        <v>2013.5</v>
      </c>
      <c r="J225" t="str">
        <f>HYPERLINK("https://climate.onebuilding.org/WMO_Region_4_North_and_Central_America/USA_United_States_of_America/AZ_Arizona/USA_AZ_Grand.Canyon.Natl.Park.AP.723783_US.Normals.2006-2020.zip")</f>
        <v>https://climate.onebuilding.org/WMO_Region_4_North_and_Central_America/USA_United_States_of_America/AZ_Arizona/USA_AZ_Grand.Canyon.Natl.Park.AP.723783_US.Normals.2006-2020.zip</v>
      </c>
    </row>
    <row r="226" spans="1:10" x14ac:dyDescent="0.25">
      <c r="A226" t="s">
        <v>35</v>
      </c>
      <c r="B226" t="s">
        <v>157</v>
      </c>
      <c r="C226" t="s">
        <v>165</v>
      </c>
      <c r="D226" s="2">
        <v>723700</v>
      </c>
      <c r="E226" t="s">
        <v>13</v>
      </c>
      <c r="F226">
        <v>35.257800000000003</v>
      </c>
      <c r="G226">
        <v>-113.9331</v>
      </c>
      <c r="H226">
        <v>-8</v>
      </c>
      <c r="I226">
        <v>1042.4000000000001</v>
      </c>
      <c r="J226" t="str">
        <f>HYPERLINK("https://climate.onebuilding.org/WMO_Region_4_North_and_Central_America/USA_United_States_of_America/AZ_Arizona/USA_AZ_Kingman.AP.723700_US.Normals.1981-2010.zip")</f>
        <v>https://climate.onebuilding.org/WMO_Region_4_North_and_Central_America/USA_United_States_of_America/AZ_Arizona/USA_AZ_Kingman.AP.723700_US.Normals.1981-2010.zip</v>
      </c>
    </row>
    <row r="227" spans="1:10" x14ac:dyDescent="0.25">
      <c r="A227" t="s">
        <v>35</v>
      </c>
      <c r="B227" t="s">
        <v>157</v>
      </c>
      <c r="C227" t="s">
        <v>165</v>
      </c>
      <c r="D227" s="2">
        <v>723700</v>
      </c>
      <c r="E227" t="s">
        <v>13</v>
      </c>
      <c r="F227">
        <v>35.257800000000003</v>
      </c>
      <c r="G227">
        <v>-113.9331</v>
      </c>
      <c r="H227">
        <v>-8</v>
      </c>
      <c r="I227">
        <v>1042.4000000000001</v>
      </c>
      <c r="J227" t="str">
        <f>HYPERLINK("https://climate.onebuilding.org/WMO_Region_4_North_and_Central_America/USA_United_States_of_America/AZ_Arizona/USA_AZ_Kingman.AP.723700_US.Normals.1991-2020.zip")</f>
        <v>https://climate.onebuilding.org/WMO_Region_4_North_and_Central_America/USA_United_States_of_America/AZ_Arizona/USA_AZ_Kingman.AP.723700_US.Normals.1991-2020.zip</v>
      </c>
    </row>
    <row r="228" spans="1:10" x14ac:dyDescent="0.25">
      <c r="A228" t="s">
        <v>35</v>
      </c>
      <c r="B228" t="s">
        <v>157</v>
      </c>
      <c r="C228" t="s">
        <v>165</v>
      </c>
      <c r="D228" s="2">
        <v>723700</v>
      </c>
      <c r="E228" t="s">
        <v>13</v>
      </c>
      <c r="F228">
        <v>35.257800000000003</v>
      </c>
      <c r="G228">
        <v>-113.9331</v>
      </c>
      <c r="H228">
        <v>-8</v>
      </c>
      <c r="I228">
        <v>1042.4000000000001</v>
      </c>
      <c r="J228" t="str">
        <f>HYPERLINK("https://climate.onebuilding.org/WMO_Region_4_North_and_Central_America/USA_United_States_of_America/AZ_Arizona/USA_AZ_Kingman.AP.723700_US.Normals.2006-2020.zip")</f>
        <v>https://climate.onebuilding.org/WMO_Region_4_North_and_Central_America/USA_United_States_of_America/AZ_Arizona/USA_AZ_Kingman.AP.723700_US.Normals.2006-2020.zip</v>
      </c>
    </row>
    <row r="229" spans="1:10" x14ac:dyDescent="0.25">
      <c r="A229" t="s">
        <v>35</v>
      </c>
      <c r="B229" t="s">
        <v>157</v>
      </c>
      <c r="C229" t="s">
        <v>166</v>
      </c>
      <c r="D229" s="2">
        <v>722728</v>
      </c>
      <c r="E229" t="s">
        <v>13</v>
      </c>
      <c r="F229">
        <v>31.4208</v>
      </c>
      <c r="G229">
        <v>-110.8458</v>
      </c>
      <c r="H229">
        <v>-7</v>
      </c>
      <c r="I229">
        <v>1198.5</v>
      </c>
      <c r="J229" t="str">
        <f>HYPERLINK("https://climate.onebuilding.org/WMO_Region_4_North_and_Central_America/USA_United_States_of_America/AZ_Arizona/USA_AZ_Nogales.Intl.AP.722728_US.Normals.2006-2020.zip")</f>
        <v>https://climate.onebuilding.org/WMO_Region_4_North_and_Central_America/USA_United_States_of_America/AZ_Arizona/USA_AZ_Nogales.Intl.AP.722728_US.Normals.2006-2020.zip</v>
      </c>
    </row>
    <row r="230" spans="1:10" x14ac:dyDescent="0.25">
      <c r="A230" t="s">
        <v>35</v>
      </c>
      <c r="B230" t="s">
        <v>157</v>
      </c>
      <c r="C230" t="s">
        <v>167</v>
      </c>
      <c r="D230" s="2">
        <v>723710</v>
      </c>
      <c r="E230" t="s">
        <v>13</v>
      </c>
      <c r="F230">
        <v>36.926099999999998</v>
      </c>
      <c r="G230">
        <v>-111.4478</v>
      </c>
      <c r="H230">
        <v>-7</v>
      </c>
      <c r="I230">
        <v>1313.7</v>
      </c>
      <c r="J230" t="str">
        <f>HYPERLINK("https://climate.onebuilding.org/WMO_Region_4_North_and_Central_America/USA_United_States_of_America/AZ_Arizona/USA_AZ_Page.Muni.AP.723710_US.Normals.1991-2020.zip")</f>
        <v>https://climate.onebuilding.org/WMO_Region_4_North_and_Central_America/USA_United_States_of_America/AZ_Arizona/USA_AZ_Page.Muni.AP.723710_US.Normals.1991-2020.zip</v>
      </c>
    </row>
    <row r="231" spans="1:10" x14ac:dyDescent="0.25">
      <c r="A231" t="s">
        <v>35</v>
      </c>
      <c r="B231" t="s">
        <v>157</v>
      </c>
      <c r="C231" t="s">
        <v>167</v>
      </c>
      <c r="D231" s="2">
        <v>723710</v>
      </c>
      <c r="E231" t="s">
        <v>13</v>
      </c>
      <c r="F231">
        <v>36.926099999999998</v>
      </c>
      <c r="G231">
        <v>-111.4478</v>
      </c>
      <c r="H231">
        <v>-7</v>
      </c>
      <c r="I231">
        <v>1313.7</v>
      </c>
      <c r="J231" t="str">
        <f>HYPERLINK("https://climate.onebuilding.org/WMO_Region_4_North_and_Central_America/USA_United_States_of_America/AZ_Arizona/USA_AZ_Page.Muni.AP.723710_US.Normals.2006-2020.zip")</f>
        <v>https://climate.onebuilding.org/WMO_Region_4_North_and_Central_America/USA_United_States_of_America/AZ_Arizona/USA_AZ_Page.Muni.AP.723710_US.Normals.2006-2020.zip</v>
      </c>
    </row>
    <row r="232" spans="1:10" x14ac:dyDescent="0.25">
      <c r="A232" t="s">
        <v>35</v>
      </c>
      <c r="B232" t="s">
        <v>157</v>
      </c>
      <c r="C232" t="s">
        <v>168</v>
      </c>
      <c r="D232" s="2">
        <v>722784</v>
      </c>
      <c r="E232" t="s">
        <v>13</v>
      </c>
      <c r="F232">
        <v>33.688299999999998</v>
      </c>
      <c r="G232">
        <v>-112.0817</v>
      </c>
      <c r="H232">
        <v>-7</v>
      </c>
      <c r="I232">
        <v>443.5</v>
      </c>
      <c r="J232" t="str">
        <f>HYPERLINK("https://climate.onebuilding.org/WMO_Region_4_North_and_Central_America/USA_United_States_of_America/AZ_Arizona/USA_AZ_Phoenix-Deer.Valley.Muni.AP.722784_US.Normals.2006-2020.zip")</f>
        <v>https://climate.onebuilding.org/WMO_Region_4_North_and_Central_America/USA_United_States_of_America/AZ_Arizona/USA_AZ_Phoenix-Deer.Valley.Muni.AP.722784_US.Normals.2006-2020.zip</v>
      </c>
    </row>
    <row r="233" spans="1:10" x14ac:dyDescent="0.25">
      <c r="A233" t="s">
        <v>35</v>
      </c>
      <c r="B233" t="s">
        <v>157</v>
      </c>
      <c r="C233" t="s">
        <v>169</v>
      </c>
      <c r="D233" s="2">
        <v>722780</v>
      </c>
      <c r="E233" t="s">
        <v>13</v>
      </c>
      <c r="F233">
        <v>33.427799999999998</v>
      </c>
      <c r="G233">
        <v>-112.0039</v>
      </c>
      <c r="H233">
        <v>-7</v>
      </c>
      <c r="I233">
        <v>337.4</v>
      </c>
      <c r="J233" t="str">
        <f>HYPERLINK("https://climate.onebuilding.org/WMO_Region_4_North_and_Central_America/USA_United_States_of_America/AZ_Arizona/USA_AZ_Phoenix-Sky.Harbor.Intl.AP.722780_US.Normals.1981-2010.zip")</f>
        <v>https://climate.onebuilding.org/WMO_Region_4_North_and_Central_America/USA_United_States_of_America/AZ_Arizona/USA_AZ_Phoenix-Sky.Harbor.Intl.AP.722780_US.Normals.1981-2010.zip</v>
      </c>
    </row>
    <row r="234" spans="1:10" x14ac:dyDescent="0.25">
      <c r="A234" t="s">
        <v>35</v>
      </c>
      <c r="B234" t="s">
        <v>157</v>
      </c>
      <c r="C234" t="s">
        <v>169</v>
      </c>
      <c r="D234" s="2">
        <v>722780</v>
      </c>
      <c r="E234" t="s">
        <v>13</v>
      </c>
      <c r="F234">
        <v>33.427799999999998</v>
      </c>
      <c r="G234">
        <v>-112.0039</v>
      </c>
      <c r="H234">
        <v>-7</v>
      </c>
      <c r="I234">
        <v>337.4</v>
      </c>
      <c r="J234" t="str">
        <f>HYPERLINK("https://climate.onebuilding.org/WMO_Region_4_North_and_Central_America/USA_United_States_of_America/AZ_Arizona/USA_AZ_Phoenix-Sky.Harbor.Intl.AP.722780_US.Normals.1991-2020.zip")</f>
        <v>https://climate.onebuilding.org/WMO_Region_4_North_and_Central_America/USA_United_States_of_America/AZ_Arizona/USA_AZ_Phoenix-Sky.Harbor.Intl.AP.722780_US.Normals.1991-2020.zip</v>
      </c>
    </row>
    <row r="235" spans="1:10" x14ac:dyDescent="0.25">
      <c r="A235" t="s">
        <v>35</v>
      </c>
      <c r="B235" t="s">
        <v>157</v>
      </c>
      <c r="C235" t="s">
        <v>169</v>
      </c>
      <c r="D235" s="2">
        <v>722780</v>
      </c>
      <c r="E235" t="s">
        <v>13</v>
      </c>
      <c r="F235">
        <v>33.427799999999998</v>
      </c>
      <c r="G235">
        <v>-112.0039</v>
      </c>
      <c r="H235">
        <v>-7</v>
      </c>
      <c r="I235">
        <v>337.4</v>
      </c>
      <c r="J235" t="str">
        <f>HYPERLINK("https://climate.onebuilding.org/WMO_Region_4_North_and_Central_America/USA_United_States_of_America/AZ_Arizona/USA_AZ_Phoenix-Sky.Harbor.Intl.AP.722780_US.Normals.2006-2020.zip")</f>
        <v>https://climate.onebuilding.org/WMO_Region_4_North_and_Central_America/USA_United_States_of_America/AZ_Arizona/USA_AZ_Phoenix-Sky.Harbor.Intl.AP.722780_US.Normals.2006-2020.zip</v>
      </c>
    </row>
    <row r="236" spans="1:10" x14ac:dyDescent="0.25">
      <c r="A236" t="s">
        <v>35</v>
      </c>
      <c r="B236" t="s">
        <v>157</v>
      </c>
      <c r="C236" t="s">
        <v>170</v>
      </c>
      <c r="D236" s="2">
        <v>723723</v>
      </c>
      <c r="E236" t="s">
        <v>13</v>
      </c>
      <c r="F236">
        <v>34.651699999999998</v>
      </c>
      <c r="G236">
        <v>-112.4208</v>
      </c>
      <c r="H236">
        <v>-7</v>
      </c>
      <c r="I236">
        <v>1536.8</v>
      </c>
      <c r="J236" t="str">
        <f>HYPERLINK("https://climate.onebuilding.org/WMO_Region_4_North_and_Central_America/USA_United_States_of_America/AZ_Arizona/USA_AZ_Prescott.Muni.AP-Love.Field.723723_US.Normals.1991-2020.zip")</f>
        <v>https://climate.onebuilding.org/WMO_Region_4_North_and_Central_America/USA_United_States_of_America/AZ_Arizona/USA_AZ_Prescott.Muni.AP-Love.Field.723723_US.Normals.1991-2020.zip</v>
      </c>
    </row>
    <row r="237" spans="1:10" x14ac:dyDescent="0.25">
      <c r="A237" t="s">
        <v>35</v>
      </c>
      <c r="B237" t="s">
        <v>157</v>
      </c>
      <c r="C237" t="s">
        <v>170</v>
      </c>
      <c r="D237" s="2">
        <v>723723</v>
      </c>
      <c r="E237" t="s">
        <v>13</v>
      </c>
      <c r="F237">
        <v>34.651699999999998</v>
      </c>
      <c r="G237">
        <v>-112.4208</v>
      </c>
      <c r="H237">
        <v>-7</v>
      </c>
      <c r="I237">
        <v>1536.8</v>
      </c>
      <c r="J237" t="str">
        <f>HYPERLINK("https://climate.onebuilding.org/WMO_Region_4_North_and_Central_America/USA_United_States_of_America/AZ_Arizona/USA_AZ_Prescott.Muni.AP-Love.Field.723723_US.Normals.2006-2020.zip")</f>
        <v>https://climate.onebuilding.org/WMO_Region_4_North_and_Central_America/USA_United_States_of_America/AZ_Arizona/USA_AZ_Prescott.Muni.AP-Love.Field.723723_US.Normals.2006-2020.zip</v>
      </c>
    </row>
    <row r="238" spans="1:10" x14ac:dyDescent="0.25">
      <c r="A238" t="s">
        <v>35</v>
      </c>
      <c r="B238" t="s">
        <v>157</v>
      </c>
      <c r="C238" t="s">
        <v>171</v>
      </c>
      <c r="D238" s="2">
        <v>722747</v>
      </c>
      <c r="E238" t="s">
        <v>13</v>
      </c>
      <c r="F238">
        <v>32.854700000000001</v>
      </c>
      <c r="G238">
        <v>-109.6353</v>
      </c>
      <c r="H238">
        <v>-7</v>
      </c>
      <c r="I238">
        <v>968</v>
      </c>
      <c r="J238" t="str">
        <f>HYPERLINK("https://climate.onebuilding.org/WMO_Region_4_North_and_Central_America/USA_United_States_of_America/AZ_Arizona/USA_AZ_Safford.Rgnl.AP.722747_US.Normals.1991-2020.zip")</f>
        <v>https://climate.onebuilding.org/WMO_Region_4_North_and_Central_America/USA_United_States_of_America/AZ_Arizona/USA_AZ_Safford.Rgnl.AP.722747_US.Normals.1991-2020.zip</v>
      </c>
    </row>
    <row r="239" spans="1:10" x14ac:dyDescent="0.25">
      <c r="A239" t="s">
        <v>35</v>
      </c>
      <c r="B239" t="s">
        <v>157</v>
      </c>
      <c r="C239" t="s">
        <v>171</v>
      </c>
      <c r="D239" s="2">
        <v>722747</v>
      </c>
      <c r="E239" t="s">
        <v>13</v>
      </c>
      <c r="F239">
        <v>32.854700000000001</v>
      </c>
      <c r="G239">
        <v>-109.6353</v>
      </c>
      <c r="H239">
        <v>-7</v>
      </c>
      <c r="I239">
        <v>968</v>
      </c>
      <c r="J239" t="str">
        <f>HYPERLINK("https://climate.onebuilding.org/WMO_Region_4_North_and_Central_America/USA_United_States_of_America/AZ_Arizona/USA_AZ_Safford.Rgnl.AP.722747_US.Normals.2006-2020.zip")</f>
        <v>https://climate.onebuilding.org/WMO_Region_4_North_and_Central_America/USA_United_States_of_America/AZ_Arizona/USA_AZ_Safford.Rgnl.AP.722747_US.Normals.2006-2020.zip</v>
      </c>
    </row>
    <row r="240" spans="1:10" x14ac:dyDescent="0.25">
      <c r="A240" t="s">
        <v>35</v>
      </c>
      <c r="B240" t="s">
        <v>157</v>
      </c>
      <c r="C240" t="s">
        <v>172</v>
      </c>
      <c r="D240" s="2">
        <v>722789</v>
      </c>
      <c r="E240" t="s">
        <v>13</v>
      </c>
      <c r="F240">
        <v>33.622799999999998</v>
      </c>
      <c r="G240">
        <v>-111.9106</v>
      </c>
      <c r="H240">
        <v>-7</v>
      </c>
      <c r="I240">
        <v>449</v>
      </c>
      <c r="J240" t="str">
        <f>HYPERLINK("https://climate.onebuilding.org/WMO_Region_4_North_and_Central_America/USA_United_States_of_America/AZ_Arizona/USA_AZ_Scottsdale.AP.722789_US.Normals.2006-2020.zip")</f>
        <v>https://climate.onebuilding.org/WMO_Region_4_North_and_Central_America/USA_United_States_of_America/AZ_Arizona/USA_AZ_Scottsdale.AP.722789_US.Normals.2006-2020.zip</v>
      </c>
    </row>
    <row r="241" spans="1:10" x14ac:dyDescent="0.25">
      <c r="A241" t="s">
        <v>35</v>
      </c>
      <c r="B241" t="s">
        <v>157</v>
      </c>
      <c r="C241" t="s">
        <v>173</v>
      </c>
      <c r="D241" s="2">
        <v>723747</v>
      </c>
      <c r="E241" t="s">
        <v>13</v>
      </c>
      <c r="F241">
        <v>34.2639</v>
      </c>
      <c r="G241">
        <v>-110.00749999999999</v>
      </c>
      <c r="H241">
        <v>-7</v>
      </c>
      <c r="I241">
        <v>1954.1</v>
      </c>
      <c r="J241" t="str">
        <f>HYPERLINK("https://climate.onebuilding.org/WMO_Region_4_North_and_Central_America/USA_United_States_of_America/AZ_Arizona/USA_AZ_Show.Low.Rgnl.AP.723747_US.Normals.2006-2020.zip")</f>
        <v>https://climate.onebuilding.org/WMO_Region_4_North_and_Central_America/USA_United_States_of_America/AZ_Arizona/USA_AZ_Show.Low.Rgnl.AP.723747_US.Normals.2006-2020.zip</v>
      </c>
    </row>
    <row r="242" spans="1:10" x14ac:dyDescent="0.25">
      <c r="A242" t="s">
        <v>35</v>
      </c>
      <c r="B242" t="s">
        <v>157</v>
      </c>
      <c r="C242" t="s">
        <v>174</v>
      </c>
      <c r="D242" s="2">
        <v>723754</v>
      </c>
      <c r="E242" t="s">
        <v>13</v>
      </c>
      <c r="F242">
        <v>34.518300000000004</v>
      </c>
      <c r="G242">
        <v>-109.3792</v>
      </c>
      <c r="H242">
        <v>-7</v>
      </c>
      <c r="I242">
        <v>1747.4</v>
      </c>
      <c r="J242" t="str">
        <f>HYPERLINK("https://climate.onebuilding.org/WMO_Region_4_North_and_Central_America/USA_United_States_of_America/AZ_Arizona/USA_AZ_St.Johns.Indl.AF.723754_US.Normals.2006-2020.zip")</f>
        <v>https://climate.onebuilding.org/WMO_Region_4_North_and_Central_America/USA_United_States_of_America/AZ_Arizona/USA_AZ_St.Johns.Indl.AF.723754_US.Normals.2006-2020.zip</v>
      </c>
    </row>
    <row r="243" spans="1:10" x14ac:dyDescent="0.25">
      <c r="A243" t="s">
        <v>35</v>
      </c>
      <c r="B243" t="s">
        <v>157</v>
      </c>
      <c r="C243" t="s">
        <v>175</v>
      </c>
      <c r="D243" s="2">
        <v>722745</v>
      </c>
      <c r="E243" t="s">
        <v>13</v>
      </c>
      <c r="F243">
        <v>32.166699999999999</v>
      </c>
      <c r="G243">
        <v>-110.88330000000001</v>
      </c>
      <c r="H243">
        <v>-7</v>
      </c>
      <c r="I243">
        <v>808.9</v>
      </c>
      <c r="J243" t="str">
        <f>HYPERLINK("https://climate.onebuilding.org/WMO_Region_4_North_and_Central_America/USA_United_States_of_America/AZ_Arizona/USA_AZ_Tucson-Davis-Monthan.AFB.722745_US.Normals.1981-2010.zip")</f>
        <v>https://climate.onebuilding.org/WMO_Region_4_North_and_Central_America/USA_United_States_of_America/AZ_Arizona/USA_AZ_Tucson-Davis-Monthan.AFB.722745_US.Normals.1981-2010.zip</v>
      </c>
    </row>
    <row r="244" spans="1:10" x14ac:dyDescent="0.25">
      <c r="A244" t="s">
        <v>35</v>
      </c>
      <c r="B244" t="s">
        <v>157</v>
      </c>
      <c r="C244" t="s">
        <v>175</v>
      </c>
      <c r="D244" s="2">
        <v>722745</v>
      </c>
      <c r="E244" t="s">
        <v>13</v>
      </c>
      <c r="F244">
        <v>32.166699999999999</v>
      </c>
      <c r="G244">
        <v>-110.88330000000001</v>
      </c>
      <c r="H244">
        <v>-7</v>
      </c>
      <c r="I244">
        <v>808.9</v>
      </c>
      <c r="J244" t="str">
        <f>HYPERLINK("https://climate.onebuilding.org/WMO_Region_4_North_and_Central_America/USA_United_States_of_America/AZ_Arizona/USA_AZ_Tucson-Davis-Monthan.AFB.722745_US.Normals.1991-2020.zip")</f>
        <v>https://climate.onebuilding.org/WMO_Region_4_North_and_Central_America/USA_United_States_of_America/AZ_Arizona/USA_AZ_Tucson-Davis-Monthan.AFB.722745_US.Normals.1991-2020.zip</v>
      </c>
    </row>
    <row r="245" spans="1:10" x14ac:dyDescent="0.25">
      <c r="A245" t="s">
        <v>35</v>
      </c>
      <c r="B245" t="s">
        <v>157</v>
      </c>
      <c r="C245" t="s">
        <v>175</v>
      </c>
      <c r="D245" s="2">
        <v>722745</v>
      </c>
      <c r="E245" t="s">
        <v>13</v>
      </c>
      <c r="F245">
        <v>32.166699999999999</v>
      </c>
      <c r="G245">
        <v>-110.88330000000001</v>
      </c>
      <c r="H245">
        <v>-7</v>
      </c>
      <c r="I245">
        <v>808.9</v>
      </c>
      <c r="J245" t="str">
        <f>HYPERLINK("https://climate.onebuilding.org/WMO_Region_4_North_and_Central_America/USA_United_States_of_America/AZ_Arizona/USA_AZ_Tucson-Davis-Monthan.AFB.722745_US.Normals.2006-2020.zip")</f>
        <v>https://climate.onebuilding.org/WMO_Region_4_North_and_Central_America/USA_United_States_of_America/AZ_Arizona/USA_AZ_Tucson-Davis-Monthan.AFB.722745_US.Normals.2006-2020.zip</v>
      </c>
    </row>
    <row r="246" spans="1:10" x14ac:dyDescent="0.25">
      <c r="A246" t="s">
        <v>35</v>
      </c>
      <c r="B246" t="s">
        <v>157</v>
      </c>
      <c r="C246" t="s">
        <v>176</v>
      </c>
      <c r="D246" s="2">
        <v>722740</v>
      </c>
      <c r="E246" t="s">
        <v>13</v>
      </c>
      <c r="F246">
        <v>32.131399999999999</v>
      </c>
      <c r="G246">
        <v>-110.95529999999999</v>
      </c>
      <c r="H246">
        <v>-7</v>
      </c>
      <c r="I246">
        <v>776.9</v>
      </c>
      <c r="J246" t="str">
        <f>HYPERLINK("https://climate.onebuilding.org/WMO_Region_4_North_and_Central_America/USA_United_States_of_America/AZ_Arizona/USA_AZ_Tucson.Intl.AP.722740_US.Normals.1981-2010.zip")</f>
        <v>https://climate.onebuilding.org/WMO_Region_4_North_and_Central_America/USA_United_States_of_America/AZ_Arizona/USA_AZ_Tucson.Intl.AP.722740_US.Normals.1981-2010.zip</v>
      </c>
    </row>
    <row r="247" spans="1:10" x14ac:dyDescent="0.25">
      <c r="A247" t="s">
        <v>35</v>
      </c>
      <c r="B247" t="s">
        <v>157</v>
      </c>
      <c r="C247" t="s">
        <v>176</v>
      </c>
      <c r="D247" s="2">
        <v>722740</v>
      </c>
      <c r="E247" t="s">
        <v>13</v>
      </c>
      <c r="F247">
        <v>32.131399999999999</v>
      </c>
      <c r="G247">
        <v>-110.95529999999999</v>
      </c>
      <c r="H247">
        <v>-7</v>
      </c>
      <c r="I247">
        <v>776.9</v>
      </c>
      <c r="J247" t="str">
        <f>HYPERLINK("https://climate.onebuilding.org/WMO_Region_4_North_and_Central_America/USA_United_States_of_America/AZ_Arizona/USA_AZ_Tucson.Intl.AP.722740_US.Normals.1991-2020.zip")</f>
        <v>https://climate.onebuilding.org/WMO_Region_4_North_and_Central_America/USA_United_States_of_America/AZ_Arizona/USA_AZ_Tucson.Intl.AP.722740_US.Normals.1991-2020.zip</v>
      </c>
    </row>
    <row r="248" spans="1:10" x14ac:dyDescent="0.25">
      <c r="A248" t="s">
        <v>35</v>
      </c>
      <c r="B248" t="s">
        <v>157</v>
      </c>
      <c r="C248" t="s">
        <v>176</v>
      </c>
      <c r="D248" s="2">
        <v>722740</v>
      </c>
      <c r="E248" t="s">
        <v>13</v>
      </c>
      <c r="F248">
        <v>32.131399999999999</v>
      </c>
      <c r="G248">
        <v>-110.95529999999999</v>
      </c>
      <c r="H248">
        <v>-7</v>
      </c>
      <c r="I248">
        <v>776.9</v>
      </c>
      <c r="J248" t="str">
        <f>HYPERLINK("https://climate.onebuilding.org/WMO_Region_4_North_and_Central_America/USA_United_States_of_America/AZ_Arizona/USA_AZ_Tucson.Intl.AP.722740_US.Normals.2006-2020.zip")</f>
        <v>https://climate.onebuilding.org/WMO_Region_4_North_and_Central_America/USA_United_States_of_America/AZ_Arizona/USA_AZ_Tucson.Intl.AP.722740_US.Normals.2006-2020.zip</v>
      </c>
    </row>
    <row r="249" spans="1:10" x14ac:dyDescent="0.25">
      <c r="A249" t="s">
        <v>35</v>
      </c>
      <c r="B249" t="s">
        <v>157</v>
      </c>
      <c r="C249" t="s">
        <v>177</v>
      </c>
      <c r="D249" s="2">
        <v>722764</v>
      </c>
      <c r="E249" t="s">
        <v>13</v>
      </c>
      <c r="F249">
        <v>35.657499999999999</v>
      </c>
      <c r="G249">
        <v>-109.06140000000001</v>
      </c>
      <c r="H249">
        <v>-7</v>
      </c>
      <c r="I249">
        <v>2054</v>
      </c>
      <c r="J249" t="str">
        <f>HYPERLINK("https://climate.onebuilding.org/WMO_Region_4_North_and_Central_America/USA_United_States_of_America/AZ_Arizona/USA_AZ_Window.Rock.AP.722764_US.Normals.2006-2020.zip")</f>
        <v>https://climate.onebuilding.org/WMO_Region_4_North_and_Central_America/USA_United_States_of_America/AZ_Arizona/USA_AZ_Window.Rock.AP.722764_US.Normals.2006-2020.zip</v>
      </c>
    </row>
    <row r="250" spans="1:10" x14ac:dyDescent="0.25">
      <c r="A250" t="s">
        <v>35</v>
      </c>
      <c r="B250" t="s">
        <v>157</v>
      </c>
      <c r="C250" t="s">
        <v>178</v>
      </c>
      <c r="D250" s="2">
        <v>723740</v>
      </c>
      <c r="E250" t="s">
        <v>13</v>
      </c>
      <c r="F250">
        <v>35.028100000000002</v>
      </c>
      <c r="G250">
        <v>-110.7208</v>
      </c>
      <c r="H250">
        <v>-7</v>
      </c>
      <c r="I250">
        <v>1489.3</v>
      </c>
      <c r="J250" t="str">
        <f>HYPERLINK("https://climate.onebuilding.org/WMO_Region_4_North_and_Central_America/USA_United_States_of_America/AZ_Arizona/USA_AZ_Winslow-Lindberg.Rgnl.AP.723740_US.Normals.1981-2010.zip")</f>
        <v>https://climate.onebuilding.org/WMO_Region_4_North_and_Central_America/USA_United_States_of_America/AZ_Arizona/USA_AZ_Winslow-Lindberg.Rgnl.AP.723740_US.Normals.1981-2010.zip</v>
      </c>
    </row>
    <row r="251" spans="1:10" x14ac:dyDescent="0.25">
      <c r="A251" t="s">
        <v>35</v>
      </c>
      <c r="B251" t="s">
        <v>157</v>
      </c>
      <c r="C251" t="s">
        <v>178</v>
      </c>
      <c r="D251" s="2">
        <v>723740</v>
      </c>
      <c r="E251" t="s">
        <v>13</v>
      </c>
      <c r="F251">
        <v>35.028100000000002</v>
      </c>
      <c r="G251">
        <v>-110.7208</v>
      </c>
      <c r="H251">
        <v>-7</v>
      </c>
      <c r="I251">
        <v>1489.3</v>
      </c>
      <c r="J251" t="str">
        <f>HYPERLINK("https://climate.onebuilding.org/WMO_Region_4_North_and_Central_America/USA_United_States_of_America/AZ_Arizona/USA_AZ_Winslow-Lindberg.Rgnl.AP.723740_US.Normals.1991-2020.zip")</f>
        <v>https://climate.onebuilding.org/WMO_Region_4_North_and_Central_America/USA_United_States_of_America/AZ_Arizona/USA_AZ_Winslow-Lindberg.Rgnl.AP.723740_US.Normals.1991-2020.zip</v>
      </c>
    </row>
    <row r="252" spans="1:10" x14ac:dyDescent="0.25">
      <c r="A252" t="s">
        <v>35</v>
      </c>
      <c r="B252" t="s">
        <v>157</v>
      </c>
      <c r="C252" t="s">
        <v>178</v>
      </c>
      <c r="D252" s="2">
        <v>723740</v>
      </c>
      <c r="E252" t="s">
        <v>13</v>
      </c>
      <c r="F252">
        <v>35.028100000000002</v>
      </c>
      <c r="G252">
        <v>-110.7208</v>
      </c>
      <c r="H252">
        <v>-7</v>
      </c>
      <c r="I252">
        <v>1489.3</v>
      </c>
      <c r="J252" t="str">
        <f>HYPERLINK("https://climate.onebuilding.org/WMO_Region_4_North_and_Central_America/USA_United_States_of_America/AZ_Arizona/USA_AZ_Winslow-Lindberg.Rgnl.AP.723740_US.Normals.2006-2020.zip")</f>
        <v>https://climate.onebuilding.org/WMO_Region_4_North_and_Central_America/USA_United_States_of_America/AZ_Arizona/USA_AZ_Winslow-Lindberg.Rgnl.AP.723740_US.Normals.2006-2020.zip</v>
      </c>
    </row>
    <row r="253" spans="1:10" x14ac:dyDescent="0.25">
      <c r="A253" t="s">
        <v>35</v>
      </c>
      <c r="B253" t="s">
        <v>157</v>
      </c>
      <c r="C253" t="s">
        <v>179</v>
      </c>
      <c r="D253" s="2">
        <v>722800</v>
      </c>
      <c r="E253" t="s">
        <v>13</v>
      </c>
      <c r="F253">
        <v>32.65</v>
      </c>
      <c r="G253">
        <v>-114.61669999999999</v>
      </c>
      <c r="H253">
        <v>-8</v>
      </c>
      <c r="I253">
        <v>64.900000000000006</v>
      </c>
      <c r="J253" t="str">
        <f>HYPERLINK("https://climate.onebuilding.org/WMO_Region_4_North_and_Central_America/USA_United_States_of_America/AZ_Arizona/USA_AZ_Yuma-MCAS.Yuma-Yuma.Intl.AP.722800_US.Normals.2006-2020.zip")</f>
        <v>https://climate.onebuilding.org/WMO_Region_4_North_and_Central_America/USA_United_States_of_America/AZ_Arizona/USA_AZ_Yuma-MCAS.Yuma-Yuma.Intl.AP.722800_US.Normals.2006-2020.zip</v>
      </c>
    </row>
    <row r="254" spans="1:10" x14ac:dyDescent="0.25">
      <c r="A254" t="s">
        <v>35</v>
      </c>
      <c r="B254" t="s">
        <v>157</v>
      </c>
      <c r="C254" t="s">
        <v>180</v>
      </c>
      <c r="D254" s="2">
        <v>722790</v>
      </c>
      <c r="E254" t="s">
        <v>13</v>
      </c>
      <c r="F254">
        <v>32.835000000000001</v>
      </c>
      <c r="G254">
        <v>-114.1883</v>
      </c>
      <c r="H254">
        <v>-8</v>
      </c>
      <c r="I254">
        <v>189</v>
      </c>
      <c r="J254" t="str">
        <f>HYPERLINK("https://climate.onebuilding.org/WMO_Region_4_North_and_Central_America/USA_United_States_of_America/AZ_Arizona/USA_AZ_Yuma.Proving.Ground-Red.Bluff.Site.722790_US.Normals.2006-2020.zip")</f>
        <v>https://climate.onebuilding.org/WMO_Region_4_North_and_Central_America/USA_United_States_of_America/AZ_Arizona/USA_AZ_Yuma.Proving.Ground-Red.Bluff.Site.722790_US.Normals.2006-2020.zip</v>
      </c>
    </row>
    <row r="255" spans="1:10" x14ac:dyDescent="0.25">
      <c r="A255" t="s">
        <v>35</v>
      </c>
      <c r="B255" t="s">
        <v>181</v>
      </c>
      <c r="C255" t="s">
        <v>182</v>
      </c>
      <c r="D255" s="2">
        <v>725958</v>
      </c>
      <c r="E255" t="s">
        <v>13</v>
      </c>
      <c r="F255">
        <v>41.491399999999999</v>
      </c>
      <c r="G255">
        <v>-120.56440000000001</v>
      </c>
      <c r="H255">
        <v>-8</v>
      </c>
      <c r="I255">
        <v>1333.5</v>
      </c>
      <c r="J255" t="str">
        <f>HYPERLINK("https://climate.onebuilding.org/WMO_Region_4_North_and_Central_America/USA_United_States_of_America/CA_California/USA_CA_Alturas.Muni.AP.725958_US.Normals.2006-2020.zip")</f>
        <v>https://climate.onebuilding.org/WMO_Region_4_North_and_Central_America/USA_United_States_of_America/CA_California/USA_CA_Alturas.Muni.AP.725958_US.Normals.2006-2020.zip</v>
      </c>
    </row>
    <row r="256" spans="1:10" x14ac:dyDescent="0.25">
      <c r="A256" t="s">
        <v>35</v>
      </c>
      <c r="B256" t="s">
        <v>181</v>
      </c>
      <c r="C256" t="s">
        <v>183</v>
      </c>
      <c r="D256" s="2">
        <v>723840</v>
      </c>
      <c r="E256" t="s">
        <v>13</v>
      </c>
      <c r="F256">
        <v>35.434399999999997</v>
      </c>
      <c r="G256">
        <v>-119.05419999999999</v>
      </c>
      <c r="H256">
        <v>-8</v>
      </c>
      <c r="I256">
        <v>149</v>
      </c>
      <c r="J256" t="str">
        <f>HYPERLINK("https://climate.onebuilding.org/WMO_Region_4_North_and_Central_America/USA_United_States_of_America/CA_California/USA_CA_Bakersfield-Meadows.Field.AP.723840_US.Normals.1981-2010.zip")</f>
        <v>https://climate.onebuilding.org/WMO_Region_4_North_and_Central_America/USA_United_States_of_America/CA_California/USA_CA_Bakersfield-Meadows.Field.AP.723840_US.Normals.1981-2010.zip</v>
      </c>
    </row>
    <row r="257" spans="1:10" x14ac:dyDescent="0.25">
      <c r="A257" t="s">
        <v>35</v>
      </c>
      <c r="B257" t="s">
        <v>181</v>
      </c>
      <c r="C257" t="s">
        <v>183</v>
      </c>
      <c r="D257" s="2">
        <v>723840</v>
      </c>
      <c r="E257" t="s">
        <v>13</v>
      </c>
      <c r="F257">
        <v>35.434399999999997</v>
      </c>
      <c r="G257">
        <v>-119.05419999999999</v>
      </c>
      <c r="H257">
        <v>-8</v>
      </c>
      <c r="I257">
        <v>149</v>
      </c>
      <c r="J257" t="str">
        <f>HYPERLINK("https://climate.onebuilding.org/WMO_Region_4_North_and_Central_America/USA_United_States_of_America/CA_California/USA_CA_Bakersfield-Meadows.Field.AP.723840_US.Normals.1991-2020.zip")</f>
        <v>https://climate.onebuilding.org/WMO_Region_4_North_and_Central_America/USA_United_States_of_America/CA_California/USA_CA_Bakersfield-Meadows.Field.AP.723840_US.Normals.1991-2020.zip</v>
      </c>
    </row>
    <row r="258" spans="1:10" x14ac:dyDescent="0.25">
      <c r="A258" t="s">
        <v>35</v>
      </c>
      <c r="B258" t="s">
        <v>181</v>
      </c>
      <c r="C258" t="s">
        <v>183</v>
      </c>
      <c r="D258" s="2">
        <v>723840</v>
      </c>
      <c r="E258" t="s">
        <v>13</v>
      </c>
      <c r="F258">
        <v>35.434399999999997</v>
      </c>
      <c r="G258">
        <v>-119.05419999999999</v>
      </c>
      <c r="H258">
        <v>-8</v>
      </c>
      <c r="I258">
        <v>149</v>
      </c>
      <c r="J258" t="str">
        <f>HYPERLINK("https://climate.onebuilding.org/WMO_Region_4_North_and_Central_America/USA_United_States_of_America/CA_California/USA_CA_Bakersfield-Meadows.Field.AP.723840_US.Normals.2006-2020.zip")</f>
        <v>https://climate.onebuilding.org/WMO_Region_4_North_and_Central_America/USA_United_States_of_America/CA_California/USA_CA_Bakersfield-Meadows.Field.AP.723840_US.Normals.2006-2020.zip</v>
      </c>
    </row>
    <row r="259" spans="1:10" x14ac:dyDescent="0.25">
      <c r="A259" t="s">
        <v>35</v>
      </c>
      <c r="B259" t="s">
        <v>181</v>
      </c>
      <c r="C259" t="s">
        <v>184</v>
      </c>
      <c r="D259" s="2">
        <v>723815</v>
      </c>
      <c r="E259" t="s">
        <v>13</v>
      </c>
      <c r="F259">
        <v>34.8536</v>
      </c>
      <c r="G259">
        <v>-116.78579999999999</v>
      </c>
      <c r="H259">
        <v>-8</v>
      </c>
      <c r="I259">
        <v>584.29999999999995</v>
      </c>
      <c r="J259" t="str">
        <f>HYPERLINK("https://climate.onebuilding.org/WMO_Region_4_North_and_Central_America/USA_United_States_of_America/CA_California/USA_CA_Barstow-Daggett.AP.723815_US.Normals.1991-2020.zip")</f>
        <v>https://climate.onebuilding.org/WMO_Region_4_North_and_Central_America/USA_United_States_of_America/CA_California/USA_CA_Barstow-Daggett.AP.723815_US.Normals.1991-2020.zip</v>
      </c>
    </row>
    <row r="260" spans="1:10" x14ac:dyDescent="0.25">
      <c r="A260" t="s">
        <v>35</v>
      </c>
      <c r="B260" t="s">
        <v>181</v>
      </c>
      <c r="C260" t="s">
        <v>184</v>
      </c>
      <c r="D260" s="2">
        <v>723815</v>
      </c>
      <c r="E260" t="s">
        <v>13</v>
      </c>
      <c r="F260">
        <v>34.8536</v>
      </c>
      <c r="G260">
        <v>-116.78579999999999</v>
      </c>
      <c r="H260">
        <v>-8</v>
      </c>
      <c r="I260">
        <v>584.29999999999995</v>
      </c>
      <c r="J260" t="str">
        <f>HYPERLINK("https://climate.onebuilding.org/WMO_Region_4_North_and_Central_America/USA_United_States_of_America/CA_California/USA_CA_Barstow-Daggett.AP.723815_US.Normals.2006-2020.zip")</f>
        <v>https://climate.onebuilding.org/WMO_Region_4_North_and_Central_America/USA_United_States_of_America/CA_California/USA_CA_Barstow-Daggett.AP.723815_US.Normals.2006-2020.zip</v>
      </c>
    </row>
    <row r="261" spans="1:10" x14ac:dyDescent="0.25">
      <c r="A261" t="s">
        <v>35</v>
      </c>
      <c r="B261" t="s">
        <v>181</v>
      </c>
      <c r="C261" t="s">
        <v>185</v>
      </c>
      <c r="D261" s="2">
        <v>724837</v>
      </c>
      <c r="E261" t="s">
        <v>13</v>
      </c>
      <c r="F261">
        <v>39.116700000000002</v>
      </c>
      <c r="G261">
        <v>-121.4333</v>
      </c>
      <c r="H261">
        <v>-8</v>
      </c>
      <c r="I261">
        <v>38.1</v>
      </c>
      <c r="J261" t="str">
        <f>HYPERLINK("https://climate.onebuilding.org/WMO_Region_4_North_and_Central_America/USA_United_States_of_America/CA_California/USA_CA_Beale.AFB.724837_US.Normals.2006-2020.zip")</f>
        <v>https://climate.onebuilding.org/WMO_Region_4_North_and_Central_America/USA_United_States_of_America/CA_California/USA_CA_Beale.AFB.724837_US.Normals.2006-2020.zip</v>
      </c>
    </row>
    <row r="262" spans="1:10" x14ac:dyDescent="0.25">
      <c r="A262" t="s">
        <v>35</v>
      </c>
      <c r="B262" t="s">
        <v>181</v>
      </c>
      <c r="C262" t="s">
        <v>186</v>
      </c>
      <c r="D262" s="2">
        <v>724800</v>
      </c>
      <c r="E262" t="s">
        <v>13</v>
      </c>
      <c r="F262">
        <v>37.371099999999998</v>
      </c>
      <c r="G262">
        <v>-118.35809999999999</v>
      </c>
      <c r="H262">
        <v>-8</v>
      </c>
      <c r="I262">
        <v>1250.3</v>
      </c>
      <c r="J262" t="str">
        <f>HYPERLINK("https://climate.onebuilding.org/WMO_Region_4_North_and_Central_America/USA_United_States_of_America/CA_California/USA_CA_Bishop-Eastern.Sierra.Rgnl.AP.724800_US.Normals.1991-2020.zip")</f>
        <v>https://climate.onebuilding.org/WMO_Region_4_North_and_Central_America/USA_United_States_of_America/CA_California/USA_CA_Bishop-Eastern.Sierra.Rgnl.AP.724800_US.Normals.1991-2020.zip</v>
      </c>
    </row>
    <row r="263" spans="1:10" x14ac:dyDescent="0.25">
      <c r="A263" t="s">
        <v>35</v>
      </c>
      <c r="B263" t="s">
        <v>181</v>
      </c>
      <c r="C263" t="s">
        <v>186</v>
      </c>
      <c r="D263" s="2">
        <v>724800</v>
      </c>
      <c r="E263" t="s">
        <v>13</v>
      </c>
      <c r="F263">
        <v>37.371099999999998</v>
      </c>
      <c r="G263">
        <v>-118.35809999999999</v>
      </c>
      <c r="H263">
        <v>-8</v>
      </c>
      <c r="I263">
        <v>1250.3</v>
      </c>
      <c r="J263" t="str">
        <f>HYPERLINK("https://climate.onebuilding.org/WMO_Region_4_North_and_Central_America/USA_United_States_of_America/CA_California/USA_CA_Bishop-Eastern.Sierra.Rgnl.AP.724800_US.Normals.2006-2020.zip")</f>
        <v>https://climate.onebuilding.org/WMO_Region_4_North_and_Central_America/USA_United_States_of_America/CA_California/USA_CA_Bishop-Eastern.Sierra.Rgnl.AP.724800_US.Normals.2006-2020.zip</v>
      </c>
    </row>
    <row r="264" spans="1:10" x14ac:dyDescent="0.25">
      <c r="A264" t="s">
        <v>35</v>
      </c>
      <c r="B264" t="s">
        <v>181</v>
      </c>
      <c r="C264" t="s">
        <v>187</v>
      </c>
      <c r="D264" s="2">
        <v>725845</v>
      </c>
      <c r="E264" t="s">
        <v>13</v>
      </c>
      <c r="F264">
        <v>39.277500000000003</v>
      </c>
      <c r="G264">
        <v>-120.7103</v>
      </c>
      <c r="H264">
        <v>-8</v>
      </c>
      <c r="I264">
        <v>1608.1</v>
      </c>
      <c r="J264" t="str">
        <f>HYPERLINK("https://climate.onebuilding.org/WMO_Region_4_North_and_Central_America/USA_United_States_of_America/CA_California/USA_CA_Blue.Canyon-Nyack.AP.725845_US.Normals.1991-2020.zip")</f>
        <v>https://climate.onebuilding.org/WMO_Region_4_North_and_Central_America/USA_United_States_of_America/CA_California/USA_CA_Blue.Canyon-Nyack.AP.725845_US.Normals.1991-2020.zip</v>
      </c>
    </row>
    <row r="265" spans="1:10" x14ac:dyDescent="0.25">
      <c r="A265" t="s">
        <v>35</v>
      </c>
      <c r="B265" t="s">
        <v>181</v>
      </c>
      <c r="C265" t="s">
        <v>187</v>
      </c>
      <c r="D265" s="2">
        <v>725845</v>
      </c>
      <c r="E265" t="s">
        <v>13</v>
      </c>
      <c r="F265">
        <v>39.277500000000003</v>
      </c>
      <c r="G265">
        <v>-120.7103</v>
      </c>
      <c r="H265">
        <v>-8</v>
      </c>
      <c r="I265">
        <v>1608.1</v>
      </c>
      <c r="J265" t="str">
        <f>HYPERLINK("https://climate.onebuilding.org/WMO_Region_4_North_and_Central_America/USA_United_States_of_America/CA_California/USA_CA_Blue.Canyon-Nyack.AP.725845_US.Normals.2006-2020.zip")</f>
        <v>https://climate.onebuilding.org/WMO_Region_4_North_and_Central_America/USA_United_States_of_America/CA_California/USA_CA_Blue.Canyon-Nyack.AP.725845_US.Normals.2006-2020.zip</v>
      </c>
    </row>
    <row r="266" spans="1:10" x14ac:dyDescent="0.25">
      <c r="A266" t="s">
        <v>35</v>
      </c>
      <c r="B266" t="s">
        <v>181</v>
      </c>
      <c r="C266" t="s">
        <v>188</v>
      </c>
      <c r="D266" s="2">
        <v>747188</v>
      </c>
      <c r="E266" t="s">
        <v>13</v>
      </c>
      <c r="F266">
        <v>33.618600000000001</v>
      </c>
      <c r="G266">
        <v>-114.71420000000001</v>
      </c>
      <c r="H266">
        <v>-8</v>
      </c>
      <c r="I266">
        <v>120.4</v>
      </c>
      <c r="J266" t="str">
        <f>HYPERLINK("https://climate.onebuilding.org/WMO_Region_4_North_and_Central_America/USA_United_States_of_America/CA_California/USA_CA_Blythe.AP.747188_US.Normals.1991-2020.zip")</f>
        <v>https://climate.onebuilding.org/WMO_Region_4_North_and_Central_America/USA_United_States_of_America/CA_California/USA_CA_Blythe.AP.747188_US.Normals.1991-2020.zip</v>
      </c>
    </row>
    <row r="267" spans="1:10" x14ac:dyDescent="0.25">
      <c r="A267" t="s">
        <v>35</v>
      </c>
      <c r="B267" t="s">
        <v>181</v>
      </c>
      <c r="C267" t="s">
        <v>188</v>
      </c>
      <c r="D267" s="2">
        <v>747188</v>
      </c>
      <c r="E267" t="s">
        <v>13</v>
      </c>
      <c r="F267">
        <v>33.618600000000001</v>
      </c>
      <c r="G267">
        <v>-114.71420000000001</v>
      </c>
      <c r="H267">
        <v>-8</v>
      </c>
      <c r="I267">
        <v>120.4</v>
      </c>
      <c r="J267" t="str">
        <f>HYPERLINK("https://climate.onebuilding.org/WMO_Region_4_North_and_Central_America/USA_United_States_of_America/CA_California/USA_CA_Blythe.AP.747188_US.Normals.2006-2020.zip")</f>
        <v>https://climate.onebuilding.org/WMO_Region_4_North_and_Central_America/USA_United_States_of_America/CA_California/USA_CA_Blythe.AP.747188_US.Normals.2006-2020.zip</v>
      </c>
    </row>
    <row r="268" spans="1:10" x14ac:dyDescent="0.25">
      <c r="A268" t="s">
        <v>35</v>
      </c>
      <c r="B268" t="s">
        <v>181</v>
      </c>
      <c r="C268" t="s">
        <v>189</v>
      </c>
      <c r="D268" s="2">
        <v>723926</v>
      </c>
      <c r="E268" t="s">
        <v>13</v>
      </c>
      <c r="F268">
        <v>34.216700000000003</v>
      </c>
      <c r="G268">
        <v>-119.08329999999999</v>
      </c>
      <c r="H268">
        <v>-8</v>
      </c>
      <c r="I268">
        <v>23.5</v>
      </c>
      <c r="J268" t="str">
        <f>HYPERLINK("https://climate.onebuilding.org/WMO_Region_4_North_and_Central_America/USA_United_States_of_America/CA_California/USA_CA_Camarillo.AP.723926_US.Normals.1991-2020.zip")</f>
        <v>https://climate.onebuilding.org/WMO_Region_4_North_and_Central_America/USA_United_States_of_America/CA_California/USA_CA_Camarillo.AP.723926_US.Normals.1991-2020.zip</v>
      </c>
    </row>
    <row r="269" spans="1:10" x14ac:dyDescent="0.25">
      <c r="A269" t="s">
        <v>35</v>
      </c>
      <c r="B269" t="s">
        <v>181</v>
      </c>
      <c r="C269" t="s">
        <v>189</v>
      </c>
      <c r="D269" s="2">
        <v>723926</v>
      </c>
      <c r="E269" t="s">
        <v>13</v>
      </c>
      <c r="F269">
        <v>34.216700000000003</v>
      </c>
      <c r="G269">
        <v>-119.08329999999999</v>
      </c>
      <c r="H269">
        <v>-8</v>
      </c>
      <c r="I269">
        <v>23.5</v>
      </c>
      <c r="J269" t="str">
        <f>HYPERLINK("https://climate.onebuilding.org/WMO_Region_4_North_and_Central_America/USA_United_States_of_America/CA_California/USA_CA_Camarillo.AP.723926_US.Normals.2006-2020.zip")</f>
        <v>https://climate.onebuilding.org/WMO_Region_4_North_and_Central_America/USA_United_States_of_America/CA_California/USA_CA_Camarillo.AP.723926_US.Normals.2006-2020.zip</v>
      </c>
    </row>
    <row r="270" spans="1:10" x14ac:dyDescent="0.25">
      <c r="A270" t="s">
        <v>35</v>
      </c>
      <c r="B270" t="s">
        <v>181</v>
      </c>
      <c r="C270" t="s">
        <v>190</v>
      </c>
      <c r="D270" s="2">
        <v>747186</v>
      </c>
      <c r="E270" t="s">
        <v>13</v>
      </c>
      <c r="F270">
        <v>32.626100000000001</v>
      </c>
      <c r="G270">
        <v>-116.46810000000001</v>
      </c>
      <c r="H270">
        <v>-8</v>
      </c>
      <c r="I270">
        <v>805</v>
      </c>
      <c r="J270" t="str">
        <f>HYPERLINK("https://climate.onebuilding.org/WMO_Region_4_North_and_Central_America/USA_United_States_of_America/CA_California/USA_CA_Campo.747186_US.Normals.2006-2020.zip")</f>
        <v>https://climate.onebuilding.org/WMO_Region_4_North_and_Central_America/USA_United_States_of_America/CA_California/USA_CA_Campo.747186_US.Normals.2006-2020.zip</v>
      </c>
    </row>
    <row r="271" spans="1:10" x14ac:dyDescent="0.25">
      <c r="A271" t="s">
        <v>35</v>
      </c>
      <c r="B271" t="s">
        <v>181</v>
      </c>
      <c r="C271" t="s">
        <v>191</v>
      </c>
      <c r="D271" s="2">
        <v>722927</v>
      </c>
      <c r="E271" t="s">
        <v>13</v>
      </c>
      <c r="F271">
        <v>33.128100000000003</v>
      </c>
      <c r="G271">
        <v>-117.2794</v>
      </c>
      <c r="H271">
        <v>-8</v>
      </c>
      <c r="I271">
        <v>100</v>
      </c>
      <c r="J271" t="str">
        <f>HYPERLINK("https://climate.onebuilding.org/WMO_Region_4_North_and_Central_America/USA_United_States_of_America/CA_California/USA_CA_Carlsbad-McClellan-Palomar.AP.722927_US.Normals.2006-2020.zip")</f>
        <v>https://climate.onebuilding.org/WMO_Region_4_North_and_Central_America/USA_United_States_of_America/CA_California/USA_CA_Carlsbad-McClellan-Palomar.AP.722927_US.Normals.2006-2020.zip</v>
      </c>
    </row>
    <row r="272" spans="1:10" x14ac:dyDescent="0.25">
      <c r="A272" t="s">
        <v>35</v>
      </c>
      <c r="B272" t="s">
        <v>181</v>
      </c>
      <c r="C272" t="s">
        <v>192</v>
      </c>
      <c r="D272" s="2">
        <v>722920</v>
      </c>
      <c r="E272" t="s">
        <v>13</v>
      </c>
      <c r="F272">
        <v>33.405000000000001</v>
      </c>
      <c r="G272">
        <v>-118.4158</v>
      </c>
      <c r="H272">
        <v>-8</v>
      </c>
      <c r="I272">
        <v>488.3</v>
      </c>
      <c r="J272" t="str">
        <f>HYPERLINK("https://climate.onebuilding.org/WMO_Region_4_North_and_Central_America/USA_United_States_of_America/CA_California/USA_CA_Catalina.Island.AP.722920_US.Normals.2006-2020.zip")</f>
        <v>https://climate.onebuilding.org/WMO_Region_4_North_and_Central_America/USA_United_States_of_America/CA_California/USA_CA_Catalina.Island.AP.722920_US.Normals.2006-2020.zip</v>
      </c>
    </row>
    <row r="273" spans="1:10" x14ac:dyDescent="0.25">
      <c r="A273" t="s">
        <v>35</v>
      </c>
      <c r="B273" t="s">
        <v>181</v>
      </c>
      <c r="C273" t="s">
        <v>193</v>
      </c>
      <c r="D273" s="2">
        <v>722899</v>
      </c>
      <c r="E273" t="s">
        <v>13</v>
      </c>
      <c r="F273">
        <v>33.975299999999997</v>
      </c>
      <c r="G273">
        <v>-117.6361</v>
      </c>
      <c r="H273">
        <v>-8</v>
      </c>
      <c r="I273">
        <v>198.1</v>
      </c>
      <c r="J273" t="str">
        <f>HYPERLINK("https://climate.onebuilding.org/WMO_Region_4_North_and_Central_America/USA_United_States_of_America/CA_California/USA_CA_Chino.AP.722899_US.Normals.2006-2020.zip")</f>
        <v>https://climate.onebuilding.org/WMO_Region_4_North_and_Central_America/USA_United_States_of_America/CA_California/USA_CA_Chino.AP.722899_US.Normals.2006-2020.zip</v>
      </c>
    </row>
    <row r="274" spans="1:10" x14ac:dyDescent="0.25">
      <c r="A274" t="s">
        <v>35</v>
      </c>
      <c r="B274" t="s">
        <v>181</v>
      </c>
      <c r="C274" t="s">
        <v>194</v>
      </c>
      <c r="D274" s="2">
        <v>722904</v>
      </c>
      <c r="E274" t="s">
        <v>13</v>
      </c>
      <c r="F274">
        <v>32.572200000000002</v>
      </c>
      <c r="G274">
        <v>-116.9794</v>
      </c>
      <c r="H274">
        <v>-8</v>
      </c>
      <c r="I274">
        <v>157</v>
      </c>
      <c r="J274" t="str">
        <f>HYPERLINK("https://climate.onebuilding.org/WMO_Region_4_North_and_Central_America/USA_United_States_of_America/CA_California/USA_CA_Chula.Vista-Brown.Field.Muni.AP.722904_US.Normals.2006-2020.zip")</f>
        <v>https://climate.onebuilding.org/WMO_Region_4_North_and_Central_America/USA_United_States_of_America/CA_California/USA_CA_Chula.Vista-Brown.Field.Muni.AP.722904_US.Normals.2006-2020.zip</v>
      </c>
    </row>
    <row r="275" spans="1:10" x14ac:dyDescent="0.25">
      <c r="A275" t="s">
        <v>35</v>
      </c>
      <c r="B275" t="s">
        <v>181</v>
      </c>
      <c r="C275" t="s">
        <v>195</v>
      </c>
      <c r="D275" s="2">
        <v>725946</v>
      </c>
      <c r="E275" t="s">
        <v>13</v>
      </c>
      <c r="F275">
        <v>41.780299999999997</v>
      </c>
      <c r="G275">
        <v>-124.2367</v>
      </c>
      <c r="H275">
        <v>-8</v>
      </c>
      <c r="I275">
        <v>17.100000000000001</v>
      </c>
      <c r="J275" t="str">
        <f>HYPERLINK("https://climate.onebuilding.org/WMO_Region_4_North_and_Central_America/USA_United_States_of_America/CA_California/USA_CA_Crescent.City-Del.Norte.County.Rgnl.AP.725946_US.Normals.2006-2020.zip")</f>
        <v>https://climate.onebuilding.org/WMO_Region_4_North_and_Central_America/USA_United_States_of_America/CA_California/USA_CA_Crescent.City-Del.Norte.County.Rgnl.AP.725946_US.Normals.2006-2020.zip</v>
      </c>
    </row>
    <row r="276" spans="1:10" x14ac:dyDescent="0.25">
      <c r="A276" t="s">
        <v>35</v>
      </c>
      <c r="B276" t="s">
        <v>181</v>
      </c>
      <c r="C276" t="s">
        <v>196</v>
      </c>
      <c r="D276" s="2">
        <v>723171</v>
      </c>
      <c r="E276" t="s">
        <v>13</v>
      </c>
      <c r="F276">
        <v>34.988300000000002</v>
      </c>
      <c r="G276">
        <v>-117.8647</v>
      </c>
      <c r="H276">
        <v>-8</v>
      </c>
      <c r="I276">
        <v>695.9</v>
      </c>
      <c r="J276" t="str">
        <f>HYPERLINK("https://climate.onebuilding.org/WMO_Region_4_North_and_Central_America/USA_United_States_of_America/CA_California/USA_CA_Edwards.AF.Aux.North.Base.723171_US.Normals.2006-2020.zip")</f>
        <v>https://climate.onebuilding.org/WMO_Region_4_North_and_Central_America/USA_United_States_of_America/CA_California/USA_CA_Edwards.AF.Aux.North.Base.723171_US.Normals.2006-2020.zip</v>
      </c>
    </row>
    <row r="277" spans="1:10" x14ac:dyDescent="0.25">
      <c r="A277" t="s">
        <v>35</v>
      </c>
      <c r="B277" t="s">
        <v>181</v>
      </c>
      <c r="C277" t="s">
        <v>197</v>
      </c>
      <c r="D277" s="2">
        <v>723810</v>
      </c>
      <c r="E277" t="s">
        <v>13</v>
      </c>
      <c r="F277">
        <v>34.9</v>
      </c>
      <c r="G277">
        <v>-117.86669999999999</v>
      </c>
      <c r="H277">
        <v>-8</v>
      </c>
      <c r="I277">
        <v>705.9</v>
      </c>
      <c r="J277" t="str">
        <f>HYPERLINK("https://climate.onebuilding.org/WMO_Region_4_North_and_Central_America/USA_United_States_of_America/CA_California/USA_CA_Edwards.AFB.723810_US.Normals.2006-2020.zip")</f>
        <v>https://climate.onebuilding.org/WMO_Region_4_North_and_Central_America/USA_United_States_of_America/CA_California/USA_CA_Edwards.AFB.723810_US.Normals.2006-2020.zip</v>
      </c>
    </row>
    <row r="278" spans="1:10" x14ac:dyDescent="0.25">
      <c r="A278" t="s">
        <v>35</v>
      </c>
      <c r="B278" t="s">
        <v>181</v>
      </c>
      <c r="C278" t="s">
        <v>198</v>
      </c>
      <c r="D278" s="2">
        <v>725945</v>
      </c>
      <c r="E278" t="s">
        <v>13</v>
      </c>
      <c r="F278">
        <v>40.978099999999998</v>
      </c>
      <c r="G278">
        <v>-124.1086</v>
      </c>
      <c r="H278">
        <v>-8</v>
      </c>
      <c r="I278">
        <v>61</v>
      </c>
      <c r="J278" t="str">
        <f>HYPERLINK("https://climate.onebuilding.org/WMO_Region_4_North_and_Central_America/USA_United_States_of_America/CA_California/USA_CA_Eureka-California.Redwood.Coast-Humboldt.County.AP.725945_US.Normals.1981-2010.zip")</f>
        <v>https://climate.onebuilding.org/WMO_Region_4_North_and_Central_America/USA_United_States_of_America/CA_California/USA_CA_Eureka-California.Redwood.Coast-Humboldt.County.AP.725945_US.Normals.1981-2010.zip</v>
      </c>
    </row>
    <row r="279" spans="1:10" x14ac:dyDescent="0.25">
      <c r="A279" t="s">
        <v>35</v>
      </c>
      <c r="B279" t="s">
        <v>181</v>
      </c>
      <c r="C279" t="s">
        <v>198</v>
      </c>
      <c r="D279" s="2">
        <v>725945</v>
      </c>
      <c r="E279" t="s">
        <v>13</v>
      </c>
      <c r="F279">
        <v>40.978099999999998</v>
      </c>
      <c r="G279">
        <v>-124.1086</v>
      </c>
      <c r="H279">
        <v>-8</v>
      </c>
      <c r="I279">
        <v>61</v>
      </c>
      <c r="J279" t="str">
        <f>HYPERLINK("https://climate.onebuilding.org/WMO_Region_4_North_and_Central_America/USA_United_States_of_America/CA_California/USA_CA_Eureka-California.Redwood.Coast-Humboldt.County.AP.725945_US.Normals.1991-2020.zip")</f>
        <v>https://climate.onebuilding.org/WMO_Region_4_North_and_Central_America/USA_United_States_of_America/CA_California/USA_CA_Eureka-California.Redwood.Coast-Humboldt.County.AP.725945_US.Normals.1991-2020.zip</v>
      </c>
    </row>
    <row r="280" spans="1:10" x14ac:dyDescent="0.25">
      <c r="A280" t="s">
        <v>35</v>
      </c>
      <c r="B280" t="s">
        <v>181</v>
      </c>
      <c r="C280" t="s">
        <v>198</v>
      </c>
      <c r="D280" s="2">
        <v>725945</v>
      </c>
      <c r="E280" t="s">
        <v>13</v>
      </c>
      <c r="F280">
        <v>40.978099999999998</v>
      </c>
      <c r="G280">
        <v>-124.1086</v>
      </c>
      <c r="H280">
        <v>-8</v>
      </c>
      <c r="I280">
        <v>61</v>
      </c>
      <c r="J280" t="str">
        <f>HYPERLINK("https://climate.onebuilding.org/WMO_Region_4_North_and_Central_America/USA_United_States_of_America/CA_California/USA_CA_Eureka-California.Redwood.Coast-Humboldt.County.AP.725945_US.Normals.2006-2020.zip")</f>
        <v>https://climate.onebuilding.org/WMO_Region_4_North_and_Central_America/USA_United_States_of_America/CA_California/USA_CA_Eureka-California.Redwood.Coast-Humboldt.County.AP.725945_US.Normals.2006-2020.zip</v>
      </c>
    </row>
    <row r="281" spans="1:10" x14ac:dyDescent="0.25">
      <c r="A281" t="s">
        <v>35</v>
      </c>
      <c r="B281" t="s">
        <v>181</v>
      </c>
      <c r="C281" t="s">
        <v>199</v>
      </c>
      <c r="D281" s="2">
        <v>745160</v>
      </c>
      <c r="E281" t="s">
        <v>13</v>
      </c>
      <c r="F281">
        <v>38.2667</v>
      </c>
      <c r="G281">
        <v>-121.9333</v>
      </c>
      <c r="H281">
        <v>-8</v>
      </c>
      <c r="I281">
        <v>18</v>
      </c>
      <c r="J281" t="str">
        <f>HYPERLINK("https://climate.onebuilding.org/WMO_Region_4_North_and_Central_America/USA_United_States_of_America/CA_California/USA_CA_Fairfield-Travis.AFB.745160_US.Normals.1981-2010.zip")</f>
        <v>https://climate.onebuilding.org/WMO_Region_4_North_and_Central_America/USA_United_States_of_America/CA_California/USA_CA_Fairfield-Travis.AFB.745160_US.Normals.1981-2010.zip</v>
      </c>
    </row>
    <row r="282" spans="1:10" x14ac:dyDescent="0.25">
      <c r="A282" t="s">
        <v>35</v>
      </c>
      <c r="B282" t="s">
        <v>181</v>
      </c>
      <c r="C282" t="s">
        <v>199</v>
      </c>
      <c r="D282" s="2">
        <v>745160</v>
      </c>
      <c r="E282" t="s">
        <v>13</v>
      </c>
      <c r="F282">
        <v>38.2667</v>
      </c>
      <c r="G282">
        <v>-121.9333</v>
      </c>
      <c r="H282">
        <v>-8</v>
      </c>
      <c r="I282">
        <v>18</v>
      </c>
      <c r="J282" t="str">
        <f>HYPERLINK("https://climate.onebuilding.org/WMO_Region_4_North_and_Central_America/USA_United_States_of_America/CA_California/USA_CA_Fairfield-Travis.AFB.745160_US.Normals.1991-2020.zip")</f>
        <v>https://climate.onebuilding.org/WMO_Region_4_North_and_Central_America/USA_United_States_of_America/CA_California/USA_CA_Fairfield-Travis.AFB.745160_US.Normals.1991-2020.zip</v>
      </c>
    </row>
    <row r="283" spans="1:10" x14ac:dyDescent="0.25">
      <c r="A283" t="s">
        <v>35</v>
      </c>
      <c r="B283" t="s">
        <v>181</v>
      </c>
      <c r="C283" t="s">
        <v>199</v>
      </c>
      <c r="D283" s="2">
        <v>745160</v>
      </c>
      <c r="E283" t="s">
        <v>13</v>
      </c>
      <c r="F283">
        <v>38.2667</v>
      </c>
      <c r="G283">
        <v>-121.9333</v>
      </c>
      <c r="H283">
        <v>-8</v>
      </c>
      <c r="I283">
        <v>18</v>
      </c>
      <c r="J283" t="str">
        <f>HYPERLINK("https://climate.onebuilding.org/WMO_Region_4_North_and_Central_America/USA_United_States_of_America/CA_California/USA_CA_Fairfield-Travis.AFB.745160_US.Normals.2006-2020.zip")</f>
        <v>https://climate.onebuilding.org/WMO_Region_4_North_and_Central_America/USA_United_States_of_America/CA_California/USA_CA_Fairfield-Travis.AFB.745160_US.Normals.2006-2020.zip</v>
      </c>
    </row>
    <row r="284" spans="1:10" x14ac:dyDescent="0.25">
      <c r="A284" t="s">
        <v>35</v>
      </c>
      <c r="B284" t="s">
        <v>181</v>
      </c>
      <c r="C284" t="s">
        <v>200</v>
      </c>
      <c r="D284" s="2">
        <v>723890</v>
      </c>
      <c r="E284" t="s">
        <v>13</v>
      </c>
      <c r="F284">
        <v>36.78</v>
      </c>
      <c r="G284">
        <v>-119.71939999999999</v>
      </c>
      <c r="H284">
        <v>-8</v>
      </c>
      <c r="I284">
        <v>101.5</v>
      </c>
      <c r="J284" t="str">
        <f>HYPERLINK("https://climate.onebuilding.org/WMO_Region_4_North_and_Central_America/USA_United_States_of_America/CA_California/USA_CA_Fresno.Yosemite.Intl.AP.723890_US.Normals.1981-2010.zip")</f>
        <v>https://climate.onebuilding.org/WMO_Region_4_North_and_Central_America/USA_United_States_of_America/CA_California/USA_CA_Fresno.Yosemite.Intl.AP.723890_US.Normals.1981-2010.zip</v>
      </c>
    </row>
    <row r="285" spans="1:10" x14ac:dyDescent="0.25">
      <c r="A285" t="s">
        <v>35</v>
      </c>
      <c r="B285" t="s">
        <v>181</v>
      </c>
      <c r="C285" t="s">
        <v>200</v>
      </c>
      <c r="D285" s="2">
        <v>723890</v>
      </c>
      <c r="E285" t="s">
        <v>13</v>
      </c>
      <c r="F285">
        <v>36.78</v>
      </c>
      <c r="G285">
        <v>-119.71939999999999</v>
      </c>
      <c r="H285">
        <v>-8</v>
      </c>
      <c r="I285">
        <v>101.5</v>
      </c>
      <c r="J285" t="str">
        <f>HYPERLINK("https://climate.onebuilding.org/WMO_Region_4_North_and_Central_America/USA_United_States_of_America/CA_California/USA_CA_Fresno.Yosemite.Intl.AP.723890_US.Normals.1991-2020.zip")</f>
        <v>https://climate.onebuilding.org/WMO_Region_4_North_and_Central_America/USA_United_States_of_America/CA_California/USA_CA_Fresno.Yosemite.Intl.AP.723890_US.Normals.1991-2020.zip</v>
      </c>
    </row>
    <row r="286" spans="1:10" x14ac:dyDescent="0.25">
      <c r="A286" t="s">
        <v>35</v>
      </c>
      <c r="B286" t="s">
        <v>181</v>
      </c>
      <c r="C286" t="s">
        <v>200</v>
      </c>
      <c r="D286" s="2">
        <v>723890</v>
      </c>
      <c r="E286" t="s">
        <v>13</v>
      </c>
      <c r="F286">
        <v>36.78</v>
      </c>
      <c r="G286">
        <v>-119.71939999999999</v>
      </c>
      <c r="H286">
        <v>-8</v>
      </c>
      <c r="I286">
        <v>101.5</v>
      </c>
      <c r="J286" t="str">
        <f>HYPERLINK("https://climate.onebuilding.org/WMO_Region_4_North_and_Central_America/USA_United_States_of_America/CA_California/USA_CA_Fresno.Yosemite.Intl.AP.723890_US.Normals.2006-2020.zip")</f>
        <v>https://climate.onebuilding.org/WMO_Region_4_North_and_Central_America/USA_United_States_of_America/CA_California/USA_CA_Fresno.Yosemite.Intl.AP.723890_US.Normals.2006-2020.zip</v>
      </c>
    </row>
    <row r="287" spans="1:10" x14ac:dyDescent="0.25">
      <c r="A287" t="s">
        <v>35</v>
      </c>
      <c r="B287" t="s">
        <v>181</v>
      </c>
      <c r="C287" t="s">
        <v>201</v>
      </c>
      <c r="D287" s="2">
        <v>722976</v>
      </c>
      <c r="E287" t="s">
        <v>13</v>
      </c>
      <c r="F287">
        <v>33.871899999999997</v>
      </c>
      <c r="G287">
        <v>-117.9789</v>
      </c>
      <c r="H287">
        <v>-8</v>
      </c>
      <c r="I287">
        <v>29.3</v>
      </c>
      <c r="J287" t="str">
        <f>HYPERLINK("https://climate.onebuilding.org/WMO_Region_4_North_and_Central_America/USA_United_States_of_America/CA_California/USA_CA_Fullerton.Muni.AP.722976_US.Normals.2006-2020.zip")</f>
        <v>https://climate.onebuilding.org/WMO_Region_4_North_and_Central_America/USA_United_States_of_America/CA_California/USA_CA_Fullerton.Muni.AP.722976_US.Normals.2006-2020.zip</v>
      </c>
    </row>
    <row r="288" spans="1:10" x14ac:dyDescent="0.25">
      <c r="A288" t="s">
        <v>35</v>
      </c>
      <c r="B288" t="s">
        <v>181</v>
      </c>
      <c r="C288" t="s">
        <v>202</v>
      </c>
      <c r="D288" s="2">
        <v>723898</v>
      </c>
      <c r="E288" t="s">
        <v>13</v>
      </c>
      <c r="F288">
        <v>36.318899999999999</v>
      </c>
      <c r="G288">
        <v>-119.6289</v>
      </c>
      <c r="H288">
        <v>-8</v>
      </c>
      <c r="I288">
        <v>75.900000000000006</v>
      </c>
      <c r="J288" t="str">
        <f>HYPERLINK("https://climate.onebuilding.org/WMO_Region_4_North_and_Central_America/USA_United_States_of_America/CA_California/USA_CA_Hanford.Muni.AP.723898_US.Normals.2006-2020.zip")</f>
        <v>https://climate.onebuilding.org/WMO_Region_4_North_and_Central_America/USA_United_States_of_America/CA_California/USA_CA_Hanford.Muni.AP.723898_US.Normals.2006-2020.zip</v>
      </c>
    </row>
    <row r="289" spans="1:10" x14ac:dyDescent="0.25">
      <c r="A289" t="s">
        <v>35</v>
      </c>
      <c r="B289" t="s">
        <v>181</v>
      </c>
      <c r="C289" t="s">
        <v>203</v>
      </c>
      <c r="D289" s="2">
        <v>722956</v>
      </c>
      <c r="E289" t="s">
        <v>13</v>
      </c>
      <c r="F289">
        <v>33.922800000000002</v>
      </c>
      <c r="G289">
        <v>-118.3342</v>
      </c>
      <c r="H289">
        <v>-8</v>
      </c>
      <c r="I289">
        <v>19.2</v>
      </c>
      <c r="J289" t="str">
        <f>HYPERLINK("https://climate.onebuilding.org/WMO_Region_4_North_and_Central_America/USA_United_States_of_America/CA_California/USA_CA_Hawthorne.Muni.AP-Northrop.Field.722956_US.Normals.2006-2020.zip")</f>
        <v>https://climate.onebuilding.org/WMO_Region_4_North_and_Central_America/USA_United_States_of_America/CA_California/USA_CA_Hawthorne.Muni.AP-Northrop.Field.722956_US.Normals.2006-2020.zip</v>
      </c>
    </row>
    <row r="290" spans="1:10" x14ac:dyDescent="0.25">
      <c r="A290" t="s">
        <v>35</v>
      </c>
      <c r="B290" t="s">
        <v>181</v>
      </c>
      <c r="C290" t="s">
        <v>204</v>
      </c>
      <c r="D290" s="2">
        <v>722880</v>
      </c>
      <c r="E290" t="s">
        <v>13</v>
      </c>
      <c r="F290">
        <v>34.200600000000001</v>
      </c>
      <c r="G290">
        <v>-118.3575</v>
      </c>
      <c r="H290">
        <v>-8</v>
      </c>
      <c r="I290">
        <v>225.9</v>
      </c>
      <c r="J290" t="str">
        <f>HYPERLINK("https://climate.onebuilding.org/WMO_Region_4_North_and_Central_America/USA_United_States_of_America/CA_California/USA_CA_Hollywood.Burbank.AP.722880_US.Normals.1981-2010.zip")</f>
        <v>https://climate.onebuilding.org/WMO_Region_4_North_and_Central_America/USA_United_States_of_America/CA_California/USA_CA_Hollywood.Burbank.AP.722880_US.Normals.1981-2010.zip</v>
      </c>
    </row>
    <row r="291" spans="1:10" x14ac:dyDescent="0.25">
      <c r="A291" t="s">
        <v>35</v>
      </c>
      <c r="B291" t="s">
        <v>181</v>
      </c>
      <c r="C291" t="s">
        <v>204</v>
      </c>
      <c r="D291" s="2">
        <v>722880</v>
      </c>
      <c r="E291" t="s">
        <v>13</v>
      </c>
      <c r="F291">
        <v>34.200600000000001</v>
      </c>
      <c r="G291">
        <v>-118.3575</v>
      </c>
      <c r="H291">
        <v>-8</v>
      </c>
      <c r="I291">
        <v>225.9</v>
      </c>
      <c r="J291" t="str">
        <f>HYPERLINK("https://climate.onebuilding.org/WMO_Region_4_North_and_Central_America/USA_United_States_of_America/CA_California/USA_CA_Hollywood.Burbank.AP.722880_US.Normals.1991-2020.zip")</f>
        <v>https://climate.onebuilding.org/WMO_Region_4_North_and_Central_America/USA_United_States_of_America/CA_California/USA_CA_Hollywood.Burbank.AP.722880_US.Normals.1991-2020.zip</v>
      </c>
    </row>
    <row r="292" spans="1:10" x14ac:dyDescent="0.25">
      <c r="A292" t="s">
        <v>35</v>
      </c>
      <c r="B292" t="s">
        <v>181</v>
      </c>
      <c r="C292" t="s">
        <v>204</v>
      </c>
      <c r="D292" s="2">
        <v>722880</v>
      </c>
      <c r="E292" t="s">
        <v>13</v>
      </c>
      <c r="F292">
        <v>34.200600000000001</v>
      </c>
      <c r="G292">
        <v>-118.3575</v>
      </c>
      <c r="H292">
        <v>-8</v>
      </c>
      <c r="I292">
        <v>225.9</v>
      </c>
      <c r="J292" t="str">
        <f>HYPERLINK("https://climate.onebuilding.org/WMO_Region_4_North_and_Central_America/USA_United_States_of_America/CA_California/USA_CA_Hollywood.Burbank.AP.722880_US.Normals.2006-2020.zip")</f>
        <v>https://climate.onebuilding.org/WMO_Region_4_North_and_Central_America/USA_United_States_of_America/CA_California/USA_CA_Hollywood.Burbank.AP.722880_US.Normals.2006-2020.zip</v>
      </c>
    </row>
    <row r="293" spans="1:10" x14ac:dyDescent="0.25">
      <c r="A293" t="s">
        <v>35</v>
      </c>
      <c r="B293" t="s">
        <v>181</v>
      </c>
      <c r="C293" t="s">
        <v>205</v>
      </c>
      <c r="D293" s="2">
        <v>747185</v>
      </c>
      <c r="E293" t="s">
        <v>13</v>
      </c>
      <c r="F293">
        <v>32.834200000000003</v>
      </c>
      <c r="G293">
        <v>-115.57859999999999</v>
      </c>
      <c r="H293">
        <v>-8</v>
      </c>
      <c r="I293">
        <v>-17.7</v>
      </c>
      <c r="J293" t="str">
        <f>HYPERLINK("https://climate.onebuilding.org/WMO_Region_4_North_and_Central_America/USA_United_States_of_America/CA_California/USA_CA_Imperial.County.AP.747185_US.Normals.1991-2020.zip")</f>
        <v>https://climate.onebuilding.org/WMO_Region_4_North_and_Central_America/USA_United_States_of_America/CA_California/USA_CA_Imperial.County.AP.747185_US.Normals.1991-2020.zip</v>
      </c>
    </row>
    <row r="294" spans="1:10" x14ac:dyDescent="0.25">
      <c r="A294" t="s">
        <v>35</v>
      </c>
      <c r="B294" t="s">
        <v>181</v>
      </c>
      <c r="C294" t="s">
        <v>205</v>
      </c>
      <c r="D294" s="2">
        <v>747185</v>
      </c>
      <c r="E294" t="s">
        <v>13</v>
      </c>
      <c r="F294">
        <v>32.834200000000003</v>
      </c>
      <c r="G294">
        <v>-115.57859999999999</v>
      </c>
      <c r="H294">
        <v>-8</v>
      </c>
      <c r="I294">
        <v>-17.7</v>
      </c>
      <c r="J294" t="str">
        <f>HYPERLINK("https://climate.onebuilding.org/WMO_Region_4_North_and_Central_America/USA_United_States_of_America/CA_California/USA_CA_Imperial.County.AP.747185_US.Normals.2006-2020.zip")</f>
        <v>https://climate.onebuilding.org/WMO_Region_4_North_and_Central_America/USA_United_States_of_America/CA_California/USA_CA_Imperial.County.AP.747185_US.Normals.2006-2020.zip</v>
      </c>
    </row>
    <row r="295" spans="1:10" x14ac:dyDescent="0.25">
      <c r="A295" t="s">
        <v>35</v>
      </c>
      <c r="B295" t="s">
        <v>181</v>
      </c>
      <c r="C295" t="s">
        <v>206</v>
      </c>
      <c r="D295" s="2">
        <v>745070</v>
      </c>
      <c r="E295" t="s">
        <v>13</v>
      </c>
      <c r="F295">
        <v>37.238100000000003</v>
      </c>
      <c r="G295">
        <v>-120.88249999999999</v>
      </c>
      <c r="H295">
        <v>-8</v>
      </c>
      <c r="I295">
        <v>23.8</v>
      </c>
      <c r="J295" t="str">
        <f>HYPERLINK("https://climate.onebuilding.org/WMO_Region_4_North_and_Central_America/USA_United_States_of_America/CA_California/USA_CA_Kesterson.Reservoir.745070_US.Normals.2006-2020.zip")</f>
        <v>https://climate.onebuilding.org/WMO_Region_4_North_and_Central_America/USA_United_States_of_America/CA_California/USA_CA_Kesterson.Reservoir.745070_US.Normals.2006-2020.zip</v>
      </c>
    </row>
    <row r="296" spans="1:10" x14ac:dyDescent="0.25">
      <c r="A296" t="s">
        <v>35</v>
      </c>
      <c r="B296" t="s">
        <v>181</v>
      </c>
      <c r="C296" t="s">
        <v>207</v>
      </c>
      <c r="D296" s="2">
        <v>723816</v>
      </c>
      <c r="E296" t="s">
        <v>13</v>
      </c>
      <c r="F296">
        <v>34.741100000000003</v>
      </c>
      <c r="G296">
        <v>-118.21169999999999</v>
      </c>
      <c r="H296">
        <v>-8</v>
      </c>
      <c r="I296">
        <v>712.6</v>
      </c>
      <c r="J296" t="str">
        <f>HYPERLINK("https://climate.onebuilding.org/WMO_Region_4_North_and_Central_America/USA_United_States_of_America/CA_California/USA_CA_Lancaster-Fox.Field.723816_US.Normals.1981-2010.zip")</f>
        <v>https://climate.onebuilding.org/WMO_Region_4_North_and_Central_America/USA_United_States_of_America/CA_California/USA_CA_Lancaster-Fox.Field.723816_US.Normals.1981-2010.zip</v>
      </c>
    </row>
    <row r="297" spans="1:10" x14ac:dyDescent="0.25">
      <c r="A297" t="s">
        <v>35</v>
      </c>
      <c r="B297" t="s">
        <v>181</v>
      </c>
      <c r="C297" t="s">
        <v>207</v>
      </c>
      <c r="D297" s="2">
        <v>723816</v>
      </c>
      <c r="E297" t="s">
        <v>13</v>
      </c>
      <c r="F297">
        <v>34.741100000000003</v>
      </c>
      <c r="G297">
        <v>-118.21169999999999</v>
      </c>
      <c r="H297">
        <v>-8</v>
      </c>
      <c r="I297">
        <v>712.6</v>
      </c>
      <c r="J297" t="str">
        <f>HYPERLINK("https://climate.onebuilding.org/WMO_Region_4_North_and_Central_America/USA_United_States_of_America/CA_California/USA_CA_Lancaster-Fox.Field.723816_US.Normals.1991-2020.zip")</f>
        <v>https://climate.onebuilding.org/WMO_Region_4_North_and_Central_America/USA_United_States_of_America/CA_California/USA_CA_Lancaster-Fox.Field.723816_US.Normals.1991-2020.zip</v>
      </c>
    </row>
    <row r="298" spans="1:10" x14ac:dyDescent="0.25">
      <c r="A298" t="s">
        <v>35</v>
      </c>
      <c r="B298" t="s">
        <v>181</v>
      </c>
      <c r="C298" t="s">
        <v>207</v>
      </c>
      <c r="D298" s="2">
        <v>723816</v>
      </c>
      <c r="E298" t="s">
        <v>13</v>
      </c>
      <c r="F298">
        <v>34.741100000000003</v>
      </c>
      <c r="G298">
        <v>-118.21169999999999</v>
      </c>
      <c r="H298">
        <v>-8</v>
      </c>
      <c r="I298">
        <v>712.6</v>
      </c>
      <c r="J298" t="str">
        <f>HYPERLINK("https://climate.onebuilding.org/WMO_Region_4_North_and_Central_America/USA_United_States_of_America/CA_California/USA_CA_Lancaster-Fox.Field.723816_US.Normals.2006-2020.zip")</f>
        <v>https://climate.onebuilding.org/WMO_Region_4_North_and_Central_America/USA_United_States_of_America/CA_California/USA_CA_Lancaster-Fox.Field.723816_US.Normals.2006-2020.zip</v>
      </c>
    </row>
    <row r="299" spans="1:10" x14ac:dyDescent="0.25">
      <c r="A299" t="s">
        <v>35</v>
      </c>
      <c r="B299" t="s">
        <v>181</v>
      </c>
      <c r="C299" t="s">
        <v>208</v>
      </c>
      <c r="D299" s="2">
        <v>724927</v>
      </c>
      <c r="E299" t="s">
        <v>13</v>
      </c>
      <c r="F299">
        <v>37.692799999999998</v>
      </c>
      <c r="G299">
        <v>-121.81440000000001</v>
      </c>
      <c r="H299">
        <v>-8</v>
      </c>
      <c r="I299">
        <v>119.8</v>
      </c>
      <c r="J299" t="str">
        <f>HYPERLINK("https://climate.onebuilding.org/WMO_Region_4_North_and_Central_America/USA_United_States_of_America/CA_California/USA_CA_Livermore.Muni.AP.724927_US.Normals.2006-2020.zip")</f>
        <v>https://climate.onebuilding.org/WMO_Region_4_North_and_Central_America/USA_United_States_of_America/CA_California/USA_CA_Livermore.Muni.AP.724927_US.Normals.2006-2020.zip</v>
      </c>
    </row>
    <row r="300" spans="1:10" x14ac:dyDescent="0.25">
      <c r="A300" t="s">
        <v>35</v>
      </c>
      <c r="B300" t="s">
        <v>181</v>
      </c>
      <c r="C300" t="s">
        <v>209</v>
      </c>
      <c r="D300" s="2">
        <v>722970</v>
      </c>
      <c r="E300" t="s">
        <v>13</v>
      </c>
      <c r="F300">
        <v>33.811700000000002</v>
      </c>
      <c r="G300">
        <v>-118.1464</v>
      </c>
      <c r="H300">
        <v>-8</v>
      </c>
      <c r="I300">
        <v>9.4</v>
      </c>
      <c r="J300" t="str">
        <f>HYPERLINK("https://climate.onebuilding.org/WMO_Region_4_North_and_Central_America/USA_United_States_of_America/CA_California/USA_CA_Long.Beach.AP.722970_US.Normals.2006-2020.zip")</f>
        <v>https://climate.onebuilding.org/WMO_Region_4_North_and_Central_America/USA_United_States_of_America/CA_California/USA_CA_Long.Beach.AP.722970_US.Normals.2006-2020.zip</v>
      </c>
    </row>
    <row r="301" spans="1:10" x14ac:dyDescent="0.25">
      <c r="A301" t="s">
        <v>35</v>
      </c>
      <c r="B301" t="s">
        <v>181</v>
      </c>
      <c r="C301" t="s">
        <v>210</v>
      </c>
      <c r="D301" s="2">
        <v>722950</v>
      </c>
      <c r="E301" t="s">
        <v>13</v>
      </c>
      <c r="F301">
        <v>33.938099999999999</v>
      </c>
      <c r="G301">
        <v>-118.38890000000001</v>
      </c>
      <c r="H301">
        <v>-8</v>
      </c>
      <c r="I301">
        <v>29.6</v>
      </c>
      <c r="J301" t="str">
        <f>HYPERLINK("https://climate.onebuilding.org/WMO_Region_4_North_and_Central_America/USA_United_States_of_America/CA_California/USA_CA_Los.Angeles.Intl.AP.722950_US.Normals.1981-2010.zip")</f>
        <v>https://climate.onebuilding.org/WMO_Region_4_North_and_Central_America/USA_United_States_of_America/CA_California/USA_CA_Los.Angeles.Intl.AP.722950_US.Normals.1981-2010.zip</v>
      </c>
    </row>
    <row r="302" spans="1:10" x14ac:dyDescent="0.25">
      <c r="A302" t="s">
        <v>35</v>
      </c>
      <c r="B302" t="s">
        <v>181</v>
      </c>
      <c r="C302" t="s">
        <v>210</v>
      </c>
      <c r="D302" s="2">
        <v>722950</v>
      </c>
      <c r="E302" t="s">
        <v>13</v>
      </c>
      <c r="F302">
        <v>33.938099999999999</v>
      </c>
      <c r="G302">
        <v>-118.38890000000001</v>
      </c>
      <c r="H302">
        <v>-8</v>
      </c>
      <c r="I302">
        <v>29.6</v>
      </c>
      <c r="J302" t="str">
        <f>HYPERLINK("https://climate.onebuilding.org/WMO_Region_4_North_and_Central_America/USA_United_States_of_America/CA_California/USA_CA_Los.Angeles.Intl.AP.722950_US.Normals.1991-2020.zip")</f>
        <v>https://climate.onebuilding.org/WMO_Region_4_North_and_Central_America/USA_United_States_of_America/CA_California/USA_CA_Los.Angeles.Intl.AP.722950_US.Normals.1991-2020.zip</v>
      </c>
    </row>
    <row r="303" spans="1:10" x14ac:dyDescent="0.25">
      <c r="A303" t="s">
        <v>35</v>
      </c>
      <c r="B303" t="s">
        <v>181</v>
      </c>
      <c r="C303" t="s">
        <v>210</v>
      </c>
      <c r="D303" s="2">
        <v>722950</v>
      </c>
      <c r="E303" t="s">
        <v>13</v>
      </c>
      <c r="F303">
        <v>33.938099999999999</v>
      </c>
      <c r="G303">
        <v>-118.38890000000001</v>
      </c>
      <c r="H303">
        <v>-8</v>
      </c>
      <c r="I303">
        <v>29.6</v>
      </c>
      <c r="J303" t="str">
        <f>HYPERLINK("https://climate.onebuilding.org/WMO_Region_4_North_and_Central_America/USA_United_States_of_America/CA_California/USA_CA_Los.Angeles.Intl.AP.722950_US.Normals.2006-2020.zip")</f>
        <v>https://climate.onebuilding.org/WMO_Region_4_North_and_Central_America/USA_United_States_of_America/CA_California/USA_CA_Los.Angeles.Intl.AP.722950_US.Normals.2006-2020.zip</v>
      </c>
    </row>
    <row r="304" spans="1:10" x14ac:dyDescent="0.25">
      <c r="A304" t="s">
        <v>35</v>
      </c>
      <c r="B304" t="s">
        <v>181</v>
      </c>
      <c r="C304" t="s">
        <v>211</v>
      </c>
      <c r="D304" s="2">
        <v>745046</v>
      </c>
      <c r="E304" t="s">
        <v>13</v>
      </c>
      <c r="F304">
        <v>36.9878</v>
      </c>
      <c r="G304">
        <v>-120.11060000000001</v>
      </c>
      <c r="H304">
        <v>-8</v>
      </c>
      <c r="I304">
        <v>77.099999999999994</v>
      </c>
      <c r="J304" t="str">
        <f>HYPERLINK("https://climate.onebuilding.org/WMO_Region_4_North_and_Central_America/USA_United_States_of_America/CA_California/USA_CA_Madera.Muni.AP.745046_US.Normals.2006-2020.zip")</f>
        <v>https://climate.onebuilding.org/WMO_Region_4_North_and_Central_America/USA_United_States_of_America/CA_California/USA_CA_Madera.Muni.AP.745046_US.Normals.2006-2020.zip</v>
      </c>
    </row>
    <row r="305" spans="1:10" x14ac:dyDescent="0.25">
      <c r="A305" t="s">
        <v>35</v>
      </c>
      <c r="B305" t="s">
        <v>181</v>
      </c>
      <c r="C305" t="s">
        <v>212</v>
      </c>
      <c r="D305" s="2">
        <v>724838</v>
      </c>
      <c r="E305" t="s">
        <v>13</v>
      </c>
      <c r="F305">
        <v>39.101900000000001</v>
      </c>
      <c r="G305">
        <v>-121.56780000000001</v>
      </c>
      <c r="H305">
        <v>-8</v>
      </c>
      <c r="I305">
        <v>18.899999999999999</v>
      </c>
      <c r="J305" t="str">
        <f>HYPERLINK("https://climate.onebuilding.org/WMO_Region_4_North_and_Central_America/USA_United_States_of_America/CA_California/USA_CA_Marysville-Yuba.County.AP.724838_US.Normals.2006-2020.zip")</f>
        <v>https://climate.onebuilding.org/WMO_Region_4_North_and_Central_America/USA_United_States_of_America/CA_California/USA_CA_Marysville-Yuba.County.AP.724838_US.Normals.2006-2020.zip</v>
      </c>
    </row>
    <row r="306" spans="1:10" x14ac:dyDescent="0.25">
      <c r="A306" t="s">
        <v>35</v>
      </c>
      <c r="B306" t="s">
        <v>181</v>
      </c>
      <c r="C306" t="s">
        <v>213</v>
      </c>
      <c r="D306" s="2">
        <v>722926</v>
      </c>
      <c r="E306" t="s">
        <v>13</v>
      </c>
      <c r="F306">
        <v>33.299999999999997</v>
      </c>
      <c r="G306">
        <v>-117.35</v>
      </c>
      <c r="H306">
        <v>-8</v>
      </c>
      <c r="I306">
        <v>22.9</v>
      </c>
      <c r="J306" t="str">
        <f>HYPERLINK("https://climate.onebuilding.org/WMO_Region_4_North_and_Central_America/USA_United_States_of_America/CA_California/USA_CA_MCAS.Camp.Pendleton.722926_US.Normals.1991-2020.zip")</f>
        <v>https://climate.onebuilding.org/WMO_Region_4_North_and_Central_America/USA_United_States_of_America/CA_California/USA_CA_MCAS.Camp.Pendleton.722926_US.Normals.1991-2020.zip</v>
      </c>
    </row>
    <row r="307" spans="1:10" x14ac:dyDescent="0.25">
      <c r="A307" t="s">
        <v>35</v>
      </c>
      <c r="B307" t="s">
        <v>181</v>
      </c>
      <c r="C307" t="s">
        <v>213</v>
      </c>
      <c r="D307" s="2">
        <v>722926</v>
      </c>
      <c r="E307" t="s">
        <v>13</v>
      </c>
      <c r="F307">
        <v>33.299999999999997</v>
      </c>
      <c r="G307">
        <v>-117.35</v>
      </c>
      <c r="H307">
        <v>-8</v>
      </c>
      <c r="I307">
        <v>22.9</v>
      </c>
      <c r="J307" t="str">
        <f>HYPERLINK("https://climate.onebuilding.org/WMO_Region_4_North_and_Central_America/USA_United_States_of_America/CA_California/USA_CA_MCAS.Camp.Pendleton.722926_US.Normals.2006-2020.zip")</f>
        <v>https://climate.onebuilding.org/WMO_Region_4_North_and_Central_America/USA_United_States_of_America/CA_California/USA_CA_MCAS.Camp.Pendleton.722926_US.Normals.2006-2020.zip</v>
      </c>
    </row>
    <row r="308" spans="1:10" x14ac:dyDescent="0.25">
      <c r="A308" t="s">
        <v>35</v>
      </c>
      <c r="B308" t="s">
        <v>181</v>
      </c>
      <c r="C308" t="s">
        <v>214</v>
      </c>
      <c r="D308" s="2">
        <v>724815</v>
      </c>
      <c r="E308" t="s">
        <v>13</v>
      </c>
      <c r="F308">
        <v>37.284700000000001</v>
      </c>
      <c r="G308">
        <v>-120.5128</v>
      </c>
      <c r="H308">
        <v>-8</v>
      </c>
      <c r="I308">
        <v>46.3</v>
      </c>
      <c r="J308" t="str">
        <f>HYPERLINK("https://climate.onebuilding.org/WMO_Region_4_North_and_Central_America/USA_United_States_of_America/CA_California/USA_CA_Merced.Rgnl.AP-Macready.Field.724815_US.Normals.2006-2020.zip")</f>
        <v>https://climate.onebuilding.org/WMO_Region_4_North_and_Central_America/USA_United_States_of_America/CA_California/USA_CA_Merced.Rgnl.AP-Macready.Field.724815_US.Normals.2006-2020.zip</v>
      </c>
    </row>
    <row r="309" spans="1:10" x14ac:dyDescent="0.25">
      <c r="A309" t="s">
        <v>35</v>
      </c>
      <c r="B309" t="s">
        <v>181</v>
      </c>
      <c r="C309" t="s">
        <v>215</v>
      </c>
      <c r="D309" s="2">
        <v>724926</v>
      </c>
      <c r="E309" t="s">
        <v>13</v>
      </c>
      <c r="F309">
        <v>37.624200000000002</v>
      </c>
      <c r="G309">
        <v>-120.95059999999999</v>
      </c>
      <c r="H309">
        <v>-8</v>
      </c>
      <c r="I309">
        <v>22.3</v>
      </c>
      <c r="J309" t="str">
        <f>HYPERLINK("https://climate.onebuilding.org/WMO_Region_4_North_and_Central_America/USA_United_States_of_America/CA_California/USA_CA_Modesto.City-County.AP.724926_US.Normals.2006-2020.zip")</f>
        <v>https://climate.onebuilding.org/WMO_Region_4_North_and_Central_America/USA_United_States_of_America/CA_California/USA_CA_Modesto.City-County.AP.724926_US.Normals.2006-2020.zip</v>
      </c>
    </row>
    <row r="310" spans="1:10" x14ac:dyDescent="0.25">
      <c r="A310" t="s">
        <v>35</v>
      </c>
      <c r="B310" t="s">
        <v>181</v>
      </c>
      <c r="C310" t="s">
        <v>216</v>
      </c>
      <c r="D310" s="2">
        <v>725955</v>
      </c>
      <c r="E310" t="s">
        <v>13</v>
      </c>
      <c r="F310">
        <v>41.7806</v>
      </c>
      <c r="G310">
        <v>-122.4717</v>
      </c>
      <c r="H310">
        <v>-8</v>
      </c>
      <c r="I310">
        <v>803.1</v>
      </c>
      <c r="J310" t="str">
        <f>HYPERLINK("https://climate.onebuilding.org/WMO_Region_4_North_and_Central_America/USA_United_States_of_America/CA_California/USA_CA_Montague-Siskiyou.County.AP.725955_US.Normals.2006-2020.zip")</f>
        <v>https://climate.onebuilding.org/WMO_Region_4_North_and_Central_America/USA_United_States_of_America/CA_California/USA_CA_Montague-Siskiyou.County.AP.725955_US.Normals.2006-2020.zip</v>
      </c>
    </row>
    <row r="311" spans="1:10" x14ac:dyDescent="0.25">
      <c r="A311" t="s">
        <v>35</v>
      </c>
      <c r="B311" t="s">
        <v>181</v>
      </c>
      <c r="C311" t="s">
        <v>217</v>
      </c>
      <c r="D311" s="2">
        <v>724915</v>
      </c>
      <c r="E311" t="s">
        <v>13</v>
      </c>
      <c r="F311">
        <v>36.588099999999997</v>
      </c>
      <c r="G311">
        <v>-121.84529999999999</v>
      </c>
      <c r="H311">
        <v>-8</v>
      </c>
      <c r="I311">
        <v>50.3</v>
      </c>
      <c r="J311" t="str">
        <f>HYPERLINK("https://climate.onebuilding.org/WMO_Region_4_North_and_Central_America/USA_United_States_of_America/CA_California/USA_CA_Monterey.Rgnl.AP.724915_US.Normals.2006-2020.zip")</f>
        <v>https://climate.onebuilding.org/WMO_Region_4_North_and_Central_America/USA_United_States_of_America/CA_California/USA_CA_Monterey.Rgnl.AP.724915_US.Normals.2006-2020.zip</v>
      </c>
    </row>
    <row r="312" spans="1:10" x14ac:dyDescent="0.25">
      <c r="A312" t="s">
        <v>35</v>
      </c>
      <c r="B312" t="s">
        <v>181</v>
      </c>
      <c r="C312" t="s">
        <v>218</v>
      </c>
      <c r="D312" s="2">
        <v>725957</v>
      </c>
      <c r="E312" t="s">
        <v>13</v>
      </c>
      <c r="F312">
        <v>41.332500000000003</v>
      </c>
      <c r="G312">
        <v>-122.33280000000001</v>
      </c>
      <c r="H312">
        <v>-8</v>
      </c>
      <c r="I312">
        <v>1077.5</v>
      </c>
      <c r="J312" t="str">
        <f>HYPERLINK("https://climate.onebuilding.org/WMO_Region_4_North_and_Central_America/USA_United_States_of_America/CA_California/USA_CA_Mount.Shasta.725957_US.Normals.1991-2020.zip")</f>
        <v>https://climate.onebuilding.org/WMO_Region_4_North_and_Central_America/USA_United_States_of_America/CA_California/USA_CA_Mount.Shasta.725957_US.Normals.1991-2020.zip</v>
      </c>
    </row>
    <row r="313" spans="1:10" x14ac:dyDescent="0.25">
      <c r="A313" t="s">
        <v>35</v>
      </c>
      <c r="B313" t="s">
        <v>181</v>
      </c>
      <c r="C313" t="s">
        <v>218</v>
      </c>
      <c r="D313" s="2">
        <v>725957</v>
      </c>
      <c r="E313" t="s">
        <v>13</v>
      </c>
      <c r="F313">
        <v>41.332500000000003</v>
      </c>
      <c r="G313">
        <v>-122.33280000000001</v>
      </c>
      <c r="H313">
        <v>-8</v>
      </c>
      <c r="I313">
        <v>1077.5</v>
      </c>
      <c r="J313" t="str">
        <f>HYPERLINK("https://climate.onebuilding.org/WMO_Region_4_North_and_Central_America/USA_United_States_of_America/CA_California/USA_CA_Mount.Shasta.725957_US.Normals.2006-2020.zip")</f>
        <v>https://climate.onebuilding.org/WMO_Region_4_North_and_Central_America/USA_United_States_of_America/CA_California/USA_CA_Mount.Shasta.725957_US.Normals.2006-2020.zip</v>
      </c>
    </row>
    <row r="314" spans="1:10" x14ac:dyDescent="0.25">
      <c r="A314" t="s">
        <v>35</v>
      </c>
      <c r="B314" t="s">
        <v>181</v>
      </c>
      <c r="C314" t="s">
        <v>219</v>
      </c>
      <c r="D314" s="2">
        <v>745090</v>
      </c>
      <c r="E314" t="s">
        <v>13</v>
      </c>
      <c r="F314">
        <v>37.405799999999999</v>
      </c>
      <c r="G314">
        <v>-122.04810000000001</v>
      </c>
      <c r="H314">
        <v>-8</v>
      </c>
      <c r="I314">
        <v>11.9</v>
      </c>
      <c r="J314" t="str">
        <f>HYPERLINK("https://climate.onebuilding.org/WMO_Region_4_North_and_Central_America/USA_United_States_of_America/CA_California/USA_CA_Mountain.View-Moffett.Federal.Field.745090_US.Normals.2006-2020.zip")</f>
        <v>https://climate.onebuilding.org/WMO_Region_4_North_and_Central_America/USA_United_States_of_America/CA_California/USA_CA_Mountain.View-Moffett.Federal.Field.745090_US.Normals.2006-2020.zip</v>
      </c>
    </row>
    <row r="315" spans="1:10" x14ac:dyDescent="0.25">
      <c r="A315" t="s">
        <v>35</v>
      </c>
      <c r="B315" t="s">
        <v>181</v>
      </c>
      <c r="C315" t="s">
        <v>220</v>
      </c>
      <c r="D315" s="2">
        <v>722810</v>
      </c>
      <c r="E315" t="s">
        <v>13</v>
      </c>
      <c r="F315">
        <v>32.816699999999997</v>
      </c>
      <c r="G315">
        <v>-115.6833</v>
      </c>
      <c r="H315">
        <v>-8</v>
      </c>
      <c r="I315">
        <v>-12.8</v>
      </c>
      <c r="J315" t="str">
        <f>HYPERLINK("https://climate.onebuilding.org/WMO_Region_4_North_and_Central_America/USA_United_States_of_America/CA_California/USA_CA_NAF.El.Centro.722810_US.Normals.2006-2020.zip")</f>
        <v>https://climate.onebuilding.org/WMO_Region_4_North_and_Central_America/USA_United_States_of_America/CA_California/USA_CA_NAF.El.Centro.722810_US.Normals.2006-2020.zip</v>
      </c>
    </row>
    <row r="316" spans="1:10" x14ac:dyDescent="0.25">
      <c r="A316" t="s">
        <v>35</v>
      </c>
      <c r="B316" t="s">
        <v>181</v>
      </c>
      <c r="C316" t="s">
        <v>221</v>
      </c>
      <c r="D316" s="2">
        <v>724955</v>
      </c>
      <c r="E316" t="s">
        <v>13</v>
      </c>
      <c r="F316">
        <v>38.210299999999997</v>
      </c>
      <c r="G316">
        <v>-122.2847</v>
      </c>
      <c r="H316">
        <v>-8</v>
      </c>
      <c r="I316">
        <v>4.3</v>
      </c>
      <c r="J316" t="str">
        <f>HYPERLINK("https://climate.onebuilding.org/WMO_Region_4_North_and_Central_America/USA_United_States_of_America/CA_California/USA_CA_Napa.County.AP.724955_US.Normals.2006-2020.zip")</f>
        <v>https://climate.onebuilding.org/WMO_Region_4_North_and_Central_America/USA_United_States_of_America/CA_California/USA_CA_Napa.County.AP.724955_US.Normals.2006-2020.zip</v>
      </c>
    </row>
    <row r="317" spans="1:10" x14ac:dyDescent="0.25">
      <c r="A317" t="s">
        <v>35</v>
      </c>
      <c r="B317" t="s">
        <v>181</v>
      </c>
      <c r="C317" t="s">
        <v>222</v>
      </c>
      <c r="D317" s="2">
        <v>747020</v>
      </c>
      <c r="E317" t="s">
        <v>13</v>
      </c>
      <c r="F317">
        <v>36.333300000000001</v>
      </c>
      <c r="G317">
        <v>-119.95</v>
      </c>
      <c r="H317">
        <v>-8</v>
      </c>
      <c r="I317">
        <v>70.7</v>
      </c>
      <c r="J317" t="str">
        <f>HYPERLINK("https://climate.onebuilding.org/WMO_Region_4_North_and_Central_America/USA_United_States_of_America/CA_California/USA_CA_NAS.Lemoore.747020_US.Normals.2006-2020.zip")</f>
        <v>https://climate.onebuilding.org/WMO_Region_4_North_and_Central_America/USA_United_States_of_America/CA_California/USA_CA_NAS.Lemoore.747020_US.Normals.2006-2020.zip</v>
      </c>
    </row>
    <row r="318" spans="1:10" x14ac:dyDescent="0.25">
      <c r="A318" t="s">
        <v>35</v>
      </c>
      <c r="B318" t="s">
        <v>181</v>
      </c>
      <c r="C318" t="s">
        <v>223</v>
      </c>
      <c r="D318" s="2">
        <v>746120</v>
      </c>
      <c r="E318" t="s">
        <v>13</v>
      </c>
      <c r="F318">
        <v>35.6875</v>
      </c>
      <c r="G318">
        <v>-117.6931</v>
      </c>
      <c r="H318">
        <v>-8</v>
      </c>
      <c r="I318">
        <v>679.7</v>
      </c>
      <c r="J318" t="str">
        <f>HYPERLINK("https://climate.onebuilding.org/WMO_Region_4_North_and_Central_America/USA_United_States_of_America/CA_California/USA_CA_NAWS.China.Lake.746120_US.Normals.2006-2020.zip")</f>
        <v>https://climate.onebuilding.org/WMO_Region_4_North_and_Central_America/USA_United_States_of_America/CA_California/USA_CA_NAWS.China.Lake.746120_US.Normals.2006-2020.zip</v>
      </c>
    </row>
    <row r="319" spans="1:10" x14ac:dyDescent="0.25">
      <c r="A319" t="s">
        <v>35</v>
      </c>
      <c r="B319" t="s">
        <v>181</v>
      </c>
      <c r="C319" t="s">
        <v>224</v>
      </c>
      <c r="D319" s="2">
        <v>723910</v>
      </c>
      <c r="E319" t="s">
        <v>13</v>
      </c>
      <c r="F319">
        <v>34.116700000000002</v>
      </c>
      <c r="G319">
        <v>-119.11669999999999</v>
      </c>
      <c r="H319">
        <v>-8</v>
      </c>
      <c r="I319">
        <v>4</v>
      </c>
      <c r="J319" t="str">
        <f>HYPERLINK("https://climate.onebuilding.org/WMO_Region_4_North_and_Central_America/USA_United_States_of_America/CA_California/USA_CA_NB.Ventura.County-Point.Mugu.723910_US.Normals.2006-2020.zip")</f>
        <v>https://climate.onebuilding.org/WMO_Region_4_North_and_Central_America/USA_United_States_of_America/CA_California/USA_CA_NB.Ventura.County-Point.Mugu.723910_US.Normals.2006-2020.zip</v>
      </c>
    </row>
    <row r="320" spans="1:10" x14ac:dyDescent="0.25">
      <c r="A320" t="s">
        <v>35</v>
      </c>
      <c r="B320" t="s">
        <v>181</v>
      </c>
      <c r="C320" t="s">
        <v>225</v>
      </c>
      <c r="D320" s="2">
        <v>723805</v>
      </c>
      <c r="E320" t="s">
        <v>13</v>
      </c>
      <c r="F320">
        <v>34.767499999999998</v>
      </c>
      <c r="G320">
        <v>-114.6189</v>
      </c>
      <c r="H320">
        <v>-8</v>
      </c>
      <c r="I320">
        <v>271.3</v>
      </c>
      <c r="J320" t="str">
        <f>HYPERLINK("https://climate.onebuilding.org/WMO_Region_4_North_and_Central_America/USA_United_States_of_America/CA_California/USA_CA_Needles.AP.723805_US.Normals.2006-2020.zip")</f>
        <v>https://climate.onebuilding.org/WMO_Region_4_North_and_Central_America/USA_United_States_of_America/CA_California/USA_CA_Needles.AP.723805_US.Normals.2006-2020.zip</v>
      </c>
    </row>
    <row r="321" spans="1:10" x14ac:dyDescent="0.25">
      <c r="A321" t="s">
        <v>35</v>
      </c>
      <c r="B321" t="s">
        <v>181</v>
      </c>
      <c r="C321" t="s">
        <v>226</v>
      </c>
      <c r="D321" s="2">
        <v>724828</v>
      </c>
      <c r="E321" t="s">
        <v>13</v>
      </c>
      <c r="F321">
        <v>38.377499999999998</v>
      </c>
      <c r="G321">
        <v>-121.9575</v>
      </c>
      <c r="H321">
        <v>-8</v>
      </c>
      <c r="I321">
        <v>33.200000000000003</v>
      </c>
      <c r="J321" t="str">
        <f>HYPERLINK("https://climate.onebuilding.org/WMO_Region_4_North_and_Central_America/USA_United_States_of_America/CA_California/USA_CA_Nut.Tree.AP.724828_US.Normals.2006-2020.zip")</f>
        <v>https://climate.onebuilding.org/WMO_Region_4_North_and_Central_America/USA_United_States_of_America/CA_California/USA_CA_Nut.Tree.AP.724828_US.Normals.2006-2020.zip</v>
      </c>
    </row>
    <row r="322" spans="1:10" x14ac:dyDescent="0.25">
      <c r="A322" t="s">
        <v>35</v>
      </c>
      <c r="B322" t="s">
        <v>181</v>
      </c>
      <c r="C322" t="s">
        <v>227</v>
      </c>
      <c r="D322" s="2">
        <v>724930</v>
      </c>
      <c r="E322" t="s">
        <v>13</v>
      </c>
      <c r="F322">
        <v>37.721400000000003</v>
      </c>
      <c r="G322">
        <v>-122.2208</v>
      </c>
      <c r="H322">
        <v>-8</v>
      </c>
      <c r="I322">
        <v>1.8</v>
      </c>
      <c r="J322" t="str">
        <f>HYPERLINK("https://climate.onebuilding.org/WMO_Region_4_North_and_Central_America/USA_United_States_of_America/CA_California/USA_CA_Oakland.Intl.AP.724930_US.Normals.1981-2010.zip")</f>
        <v>https://climate.onebuilding.org/WMO_Region_4_North_and_Central_America/USA_United_States_of_America/CA_California/USA_CA_Oakland.Intl.AP.724930_US.Normals.1981-2010.zip</v>
      </c>
    </row>
    <row r="323" spans="1:10" x14ac:dyDescent="0.25">
      <c r="A323" t="s">
        <v>35</v>
      </c>
      <c r="B323" t="s">
        <v>181</v>
      </c>
      <c r="C323" t="s">
        <v>227</v>
      </c>
      <c r="D323" s="2">
        <v>724930</v>
      </c>
      <c r="E323" t="s">
        <v>13</v>
      </c>
      <c r="F323">
        <v>37.721400000000003</v>
      </c>
      <c r="G323">
        <v>-122.2208</v>
      </c>
      <c r="H323">
        <v>-8</v>
      </c>
      <c r="I323">
        <v>1.8</v>
      </c>
      <c r="J323" t="str">
        <f>HYPERLINK("https://climate.onebuilding.org/WMO_Region_4_North_and_Central_America/USA_United_States_of_America/CA_California/USA_CA_Oakland.Intl.AP.724930_US.Normals.1991-2020.zip")</f>
        <v>https://climate.onebuilding.org/WMO_Region_4_North_and_Central_America/USA_United_States_of_America/CA_California/USA_CA_Oakland.Intl.AP.724930_US.Normals.1991-2020.zip</v>
      </c>
    </row>
    <row r="324" spans="1:10" x14ac:dyDescent="0.25">
      <c r="A324" t="s">
        <v>35</v>
      </c>
      <c r="B324" t="s">
        <v>181</v>
      </c>
      <c r="C324" t="s">
        <v>227</v>
      </c>
      <c r="D324" s="2">
        <v>724930</v>
      </c>
      <c r="E324" t="s">
        <v>13</v>
      </c>
      <c r="F324">
        <v>37.721400000000003</v>
      </c>
      <c r="G324">
        <v>-122.2208</v>
      </c>
      <c r="H324">
        <v>-8</v>
      </c>
      <c r="I324">
        <v>1.8</v>
      </c>
      <c r="J324" t="str">
        <f>HYPERLINK("https://climate.onebuilding.org/WMO_Region_4_North_and_Central_America/USA_United_States_of_America/CA_California/USA_CA_Oakland.Intl.AP.724930_US.Normals.2006-2020.zip")</f>
        <v>https://climate.onebuilding.org/WMO_Region_4_North_and_Central_America/USA_United_States_of_America/CA_California/USA_CA_Oakland.Intl.AP.724930_US.Normals.2006-2020.zip</v>
      </c>
    </row>
    <row r="325" spans="1:10" x14ac:dyDescent="0.25">
      <c r="A325" t="s">
        <v>35</v>
      </c>
      <c r="B325" t="s">
        <v>181</v>
      </c>
      <c r="C325" t="s">
        <v>228</v>
      </c>
      <c r="D325" s="2">
        <v>722934</v>
      </c>
      <c r="E325" t="s">
        <v>13</v>
      </c>
      <c r="F325">
        <v>33.2194</v>
      </c>
      <c r="G325">
        <v>-117.3494</v>
      </c>
      <c r="H325">
        <v>-8</v>
      </c>
      <c r="I325">
        <v>8.5</v>
      </c>
      <c r="J325" t="str">
        <f>HYPERLINK("https://climate.onebuilding.org/WMO_Region_4_North_and_Central_America/USA_United_States_of_America/CA_California/USA_CA_Oceanside.Muni.AP.722934_US.Normals.2006-2020.zip")</f>
        <v>https://climate.onebuilding.org/WMO_Region_4_North_and_Central_America/USA_United_States_of_America/CA_California/USA_CA_Oceanside.Muni.AP.722934_US.Normals.2006-2020.zip</v>
      </c>
    </row>
    <row r="326" spans="1:10" x14ac:dyDescent="0.25">
      <c r="A326" t="s">
        <v>35</v>
      </c>
      <c r="B326" t="s">
        <v>181</v>
      </c>
      <c r="C326" t="s">
        <v>229</v>
      </c>
      <c r="D326" s="2">
        <v>747040</v>
      </c>
      <c r="E326" t="s">
        <v>13</v>
      </c>
      <c r="F326">
        <v>34.056100000000001</v>
      </c>
      <c r="G326">
        <v>-117.6003</v>
      </c>
      <c r="H326">
        <v>-8</v>
      </c>
      <c r="I326">
        <v>289.3</v>
      </c>
      <c r="J326" t="str">
        <f>HYPERLINK("https://climate.onebuilding.org/WMO_Region_4_North_and_Central_America/USA_United_States_of_America/CA_California/USA_CA_Ontario.Intl.AP.747040_US.Normals.2006-2020.zip")</f>
        <v>https://climate.onebuilding.org/WMO_Region_4_North_and_Central_America/USA_United_States_of_America/CA_California/USA_CA_Ontario.Intl.AP.747040_US.Normals.2006-2020.zip</v>
      </c>
    </row>
    <row r="327" spans="1:10" x14ac:dyDescent="0.25">
      <c r="A327" t="s">
        <v>35</v>
      </c>
      <c r="B327" t="s">
        <v>181</v>
      </c>
      <c r="C327" t="s">
        <v>230</v>
      </c>
      <c r="D327" s="2">
        <v>745048</v>
      </c>
      <c r="E327" t="s">
        <v>13</v>
      </c>
      <c r="F327">
        <v>39.49</v>
      </c>
      <c r="G327">
        <v>-121.6183</v>
      </c>
      <c r="H327">
        <v>-8</v>
      </c>
      <c r="I327">
        <v>57.9</v>
      </c>
      <c r="J327" t="str">
        <f>HYPERLINK("https://climate.onebuilding.org/WMO_Region_4_North_and_Central_America/USA_United_States_of_America/CA_California/USA_CA_Oroville.Muni.AP.745048_US.Normals.2006-2020.zip")</f>
        <v>https://climate.onebuilding.org/WMO_Region_4_North_and_Central_America/USA_United_States_of_America/CA_California/USA_CA_Oroville.Muni.AP.745048_US.Normals.2006-2020.zip</v>
      </c>
    </row>
    <row r="328" spans="1:10" x14ac:dyDescent="0.25">
      <c r="A328" t="s">
        <v>35</v>
      </c>
      <c r="B328" t="s">
        <v>181</v>
      </c>
      <c r="C328" t="s">
        <v>231</v>
      </c>
      <c r="D328" s="2">
        <v>723927</v>
      </c>
      <c r="E328" t="s">
        <v>13</v>
      </c>
      <c r="F328">
        <v>34.200800000000001</v>
      </c>
      <c r="G328">
        <v>-119.2069</v>
      </c>
      <c r="H328">
        <v>-8</v>
      </c>
      <c r="I328">
        <v>11</v>
      </c>
      <c r="J328" t="str">
        <f>HYPERLINK("https://climate.onebuilding.org/WMO_Region_4_North_and_Central_America/USA_United_States_of_America/CA_California/USA_CA_Oxnard.AP.723927_US.Normals.2006-2020.zip")</f>
        <v>https://climate.onebuilding.org/WMO_Region_4_North_and_Central_America/USA_United_States_of_America/CA_California/USA_CA_Oxnard.AP.723927_US.Normals.2006-2020.zip</v>
      </c>
    </row>
    <row r="329" spans="1:10" x14ac:dyDescent="0.25">
      <c r="A329" t="s">
        <v>35</v>
      </c>
      <c r="B329" t="s">
        <v>181</v>
      </c>
      <c r="C329" t="s">
        <v>232</v>
      </c>
      <c r="D329" s="2">
        <v>747187</v>
      </c>
      <c r="E329" t="s">
        <v>13</v>
      </c>
      <c r="F329">
        <v>33.6267</v>
      </c>
      <c r="G329">
        <v>-116.15940000000001</v>
      </c>
      <c r="H329">
        <v>-8</v>
      </c>
      <c r="I329">
        <v>-36</v>
      </c>
      <c r="J329" t="str">
        <f>HYPERLINK("https://climate.onebuilding.org/WMO_Region_4_North_and_Central_America/USA_United_States_of_America/CA_California/USA_CA_Palm.Springs-Thermal-Cochran.Rgnl.AP.747187_US.Normals.1991-2020.zip")</f>
        <v>https://climate.onebuilding.org/WMO_Region_4_North_and_Central_America/USA_United_States_of_America/CA_California/USA_CA_Palm.Springs-Thermal-Cochran.Rgnl.AP.747187_US.Normals.1991-2020.zip</v>
      </c>
    </row>
    <row r="330" spans="1:10" x14ac:dyDescent="0.25">
      <c r="A330" t="s">
        <v>35</v>
      </c>
      <c r="B330" t="s">
        <v>181</v>
      </c>
      <c r="C330" t="s">
        <v>232</v>
      </c>
      <c r="D330" s="2">
        <v>747187</v>
      </c>
      <c r="E330" t="s">
        <v>13</v>
      </c>
      <c r="F330">
        <v>33.6267</v>
      </c>
      <c r="G330">
        <v>-116.15940000000001</v>
      </c>
      <c r="H330">
        <v>-8</v>
      </c>
      <c r="I330">
        <v>-36</v>
      </c>
      <c r="J330" t="str">
        <f>HYPERLINK("https://climate.onebuilding.org/WMO_Region_4_North_and_Central_America/USA_United_States_of_America/CA_California/USA_CA_Palm.Springs-Thermal-Cochran.Rgnl.AP.747187_US.Normals.2006-2020.zip")</f>
        <v>https://climate.onebuilding.org/WMO_Region_4_North_and_Central_America/USA_United_States_of_America/CA_California/USA_CA_Palm.Springs-Thermal-Cochran.Rgnl.AP.747187_US.Normals.2006-2020.zip</v>
      </c>
    </row>
    <row r="331" spans="1:10" x14ac:dyDescent="0.25">
      <c r="A331" t="s">
        <v>35</v>
      </c>
      <c r="B331" t="s">
        <v>181</v>
      </c>
      <c r="C331" t="s">
        <v>233</v>
      </c>
      <c r="D331" s="2">
        <v>722868</v>
      </c>
      <c r="E331" t="s">
        <v>13</v>
      </c>
      <c r="F331">
        <v>33.828099999999999</v>
      </c>
      <c r="G331">
        <v>-116.50530000000001</v>
      </c>
      <c r="H331">
        <v>-8</v>
      </c>
      <c r="I331">
        <v>128.30000000000001</v>
      </c>
      <c r="J331" t="str">
        <f>HYPERLINK("https://climate.onebuilding.org/WMO_Region_4_North_and_Central_America/USA_United_States_of_America/CA_California/USA_CA_Palm.Springs.Intl.AP.722868_US.Normals.2006-2020.zip")</f>
        <v>https://climate.onebuilding.org/WMO_Region_4_North_and_Central_America/USA_United_States_of_America/CA_California/USA_CA_Palm.Springs.Intl.AP.722868_US.Normals.2006-2020.zip</v>
      </c>
    </row>
    <row r="332" spans="1:10" x14ac:dyDescent="0.25">
      <c r="A332" t="s">
        <v>35</v>
      </c>
      <c r="B332" t="s">
        <v>181</v>
      </c>
      <c r="C332" t="s">
        <v>234</v>
      </c>
      <c r="D332" s="2">
        <v>723820</v>
      </c>
      <c r="E332" t="s">
        <v>13</v>
      </c>
      <c r="F332">
        <v>34.629399999999997</v>
      </c>
      <c r="G332">
        <v>-118.0836</v>
      </c>
      <c r="H332">
        <v>-8</v>
      </c>
      <c r="I332">
        <v>769.3</v>
      </c>
      <c r="J332" t="str">
        <f>HYPERLINK("https://climate.onebuilding.org/WMO_Region_4_North_and_Central_America/USA_United_States_of_America/CA_California/USA_CA_Palmdale.Rgnl.AP.723820_US.Normals.2006-2020.zip")</f>
        <v>https://climate.onebuilding.org/WMO_Region_4_North_and_Central_America/USA_United_States_of_America/CA_California/USA_CA_Palmdale.Rgnl.AP.723820_US.Normals.2006-2020.zip</v>
      </c>
    </row>
    <row r="333" spans="1:10" x14ac:dyDescent="0.25">
      <c r="A333" t="s">
        <v>35</v>
      </c>
      <c r="B333" t="s">
        <v>181</v>
      </c>
      <c r="C333" t="s">
        <v>235</v>
      </c>
      <c r="D333" s="2">
        <v>723965</v>
      </c>
      <c r="E333" t="s">
        <v>13</v>
      </c>
      <c r="F333">
        <v>35.669699999999999</v>
      </c>
      <c r="G333">
        <v>-120.6283</v>
      </c>
      <c r="H333">
        <v>-8</v>
      </c>
      <c r="I333">
        <v>246.9</v>
      </c>
      <c r="J333" t="str">
        <f>HYPERLINK("https://climate.onebuilding.org/WMO_Region_4_North_and_Central_America/USA_United_States_of_America/CA_California/USA_CA_Paso.Robles.Muni.AP.723965_US.Normals.1981-2010.zip")</f>
        <v>https://climate.onebuilding.org/WMO_Region_4_North_and_Central_America/USA_United_States_of_America/CA_California/USA_CA_Paso.Robles.Muni.AP.723965_US.Normals.1981-2010.zip</v>
      </c>
    </row>
    <row r="334" spans="1:10" x14ac:dyDescent="0.25">
      <c r="A334" t="s">
        <v>35</v>
      </c>
      <c r="B334" t="s">
        <v>181</v>
      </c>
      <c r="C334" t="s">
        <v>235</v>
      </c>
      <c r="D334" s="2">
        <v>723965</v>
      </c>
      <c r="E334" t="s">
        <v>13</v>
      </c>
      <c r="F334">
        <v>35.669699999999999</v>
      </c>
      <c r="G334">
        <v>-120.6283</v>
      </c>
      <c r="H334">
        <v>-8</v>
      </c>
      <c r="I334">
        <v>246.9</v>
      </c>
      <c r="J334" t="str">
        <f>HYPERLINK("https://climate.onebuilding.org/WMO_Region_4_North_and_Central_America/USA_United_States_of_America/CA_California/USA_CA_Paso.Robles.Muni.AP.723965_US.Normals.1991-2020.zip")</f>
        <v>https://climate.onebuilding.org/WMO_Region_4_North_and_Central_America/USA_United_States_of_America/CA_California/USA_CA_Paso.Robles.Muni.AP.723965_US.Normals.1991-2020.zip</v>
      </c>
    </row>
    <row r="335" spans="1:10" x14ac:dyDescent="0.25">
      <c r="A335" t="s">
        <v>35</v>
      </c>
      <c r="B335" t="s">
        <v>181</v>
      </c>
      <c r="C335" t="s">
        <v>235</v>
      </c>
      <c r="D335" s="2">
        <v>723965</v>
      </c>
      <c r="E335" t="s">
        <v>13</v>
      </c>
      <c r="F335">
        <v>35.669699999999999</v>
      </c>
      <c r="G335">
        <v>-120.6283</v>
      </c>
      <c r="H335">
        <v>-8</v>
      </c>
      <c r="I335">
        <v>246.9</v>
      </c>
      <c r="J335" t="str">
        <f>HYPERLINK("https://climate.onebuilding.org/WMO_Region_4_North_and_Central_America/USA_United_States_of_America/CA_California/USA_CA_Paso.Robles.Muni.AP.723965_US.Normals.2006-2020.zip")</f>
        <v>https://climate.onebuilding.org/WMO_Region_4_North_and_Central_America/USA_United_States_of_America/CA_California/USA_CA_Paso.Robles.Muni.AP.723965_US.Normals.2006-2020.zip</v>
      </c>
    </row>
    <row r="336" spans="1:10" x14ac:dyDescent="0.25">
      <c r="A336" t="s">
        <v>35</v>
      </c>
      <c r="B336" t="s">
        <v>181</v>
      </c>
      <c r="C336" t="s">
        <v>236</v>
      </c>
      <c r="D336" s="2">
        <v>745056</v>
      </c>
      <c r="E336" t="s">
        <v>13</v>
      </c>
      <c r="F336">
        <v>33.037500000000001</v>
      </c>
      <c r="G336">
        <v>-116.9158</v>
      </c>
      <c r="H336">
        <v>-8</v>
      </c>
      <c r="I336">
        <v>424.6</v>
      </c>
      <c r="J336" t="str">
        <f>HYPERLINK("https://climate.onebuilding.org/WMO_Region_4_North_and_Central_America/USA_United_States_of_America/CA_California/USA_CA_Ramona.AP.745056_US.Normals.2006-2020.zip")</f>
        <v>https://climate.onebuilding.org/WMO_Region_4_North_and_Central_America/USA_United_States_of_America/CA_California/USA_CA_Ramona.AP.745056_US.Normals.2006-2020.zip</v>
      </c>
    </row>
    <row r="337" spans="1:10" x14ac:dyDescent="0.25">
      <c r="A337" t="s">
        <v>35</v>
      </c>
      <c r="B337" t="s">
        <v>181</v>
      </c>
      <c r="C337" t="s">
        <v>237</v>
      </c>
      <c r="D337" s="2">
        <v>725910</v>
      </c>
      <c r="E337" t="s">
        <v>13</v>
      </c>
      <c r="F337">
        <v>40.151899999999998</v>
      </c>
      <c r="G337">
        <v>-122.25360000000001</v>
      </c>
      <c r="H337">
        <v>-8</v>
      </c>
      <c r="I337">
        <v>107.6</v>
      </c>
      <c r="J337" t="str">
        <f>HYPERLINK("https://climate.onebuilding.org/WMO_Region_4_North_and_Central_America/USA_United_States_of_America/CA_California/USA_CA_Red.Bluff.Muni.AP.725910_US.Normals.1991-2020.zip")</f>
        <v>https://climate.onebuilding.org/WMO_Region_4_North_and_Central_America/USA_United_States_of_America/CA_California/USA_CA_Red.Bluff.Muni.AP.725910_US.Normals.1991-2020.zip</v>
      </c>
    </row>
    <row r="338" spans="1:10" x14ac:dyDescent="0.25">
      <c r="A338" t="s">
        <v>35</v>
      </c>
      <c r="B338" t="s">
        <v>181</v>
      </c>
      <c r="C338" t="s">
        <v>237</v>
      </c>
      <c r="D338" s="2">
        <v>725910</v>
      </c>
      <c r="E338" t="s">
        <v>13</v>
      </c>
      <c r="F338">
        <v>40.151899999999998</v>
      </c>
      <c r="G338">
        <v>-122.25360000000001</v>
      </c>
      <c r="H338">
        <v>-8</v>
      </c>
      <c r="I338">
        <v>107.6</v>
      </c>
      <c r="J338" t="str">
        <f>HYPERLINK("https://climate.onebuilding.org/WMO_Region_4_North_and_Central_America/USA_United_States_of_America/CA_California/USA_CA_Red.Bluff.Muni.AP.725910_US.Normals.2006-2020.zip")</f>
        <v>https://climate.onebuilding.org/WMO_Region_4_North_and_Central_America/USA_United_States_of_America/CA_California/USA_CA_Red.Bluff.Muni.AP.725910_US.Normals.2006-2020.zip</v>
      </c>
    </row>
    <row r="339" spans="1:10" x14ac:dyDescent="0.25">
      <c r="A339" t="s">
        <v>35</v>
      </c>
      <c r="B339" t="s">
        <v>181</v>
      </c>
      <c r="C339" t="s">
        <v>238</v>
      </c>
      <c r="D339" s="2">
        <v>744970</v>
      </c>
      <c r="E339" t="s">
        <v>13</v>
      </c>
      <c r="F339">
        <v>40.650799999999997</v>
      </c>
      <c r="G339">
        <v>-122.6067</v>
      </c>
      <c r="H339">
        <v>-8</v>
      </c>
      <c r="I339">
        <v>432.2</v>
      </c>
      <c r="J339" t="str">
        <f>HYPERLINK("https://climate.onebuilding.org/WMO_Region_4_North_and_Central_America/USA_United_States_of_America/CA_California/USA_CA_Redding-Whiskeytown.Natl.Recreation.Area.744970_US.Normals.2006-2020.zip")</f>
        <v>https://climate.onebuilding.org/WMO_Region_4_North_and_Central_America/USA_United_States_of_America/CA_California/USA_CA_Redding-Whiskeytown.Natl.Recreation.Area.744970_US.Normals.2006-2020.zip</v>
      </c>
    </row>
    <row r="340" spans="1:10" x14ac:dyDescent="0.25">
      <c r="A340" t="s">
        <v>35</v>
      </c>
      <c r="B340" t="s">
        <v>181</v>
      </c>
      <c r="C340" t="s">
        <v>239</v>
      </c>
      <c r="D340" s="2">
        <v>725920</v>
      </c>
      <c r="E340" t="s">
        <v>13</v>
      </c>
      <c r="F340">
        <v>40.517499999999998</v>
      </c>
      <c r="G340">
        <v>-122.29859999999999</v>
      </c>
      <c r="H340">
        <v>-8</v>
      </c>
      <c r="I340">
        <v>151.5</v>
      </c>
      <c r="J340" t="str">
        <f>HYPERLINK("https://climate.onebuilding.org/WMO_Region_4_North_and_Central_America/USA_United_States_of_America/CA_California/USA_CA_Redding.Muni.AP.725920_US.Normals.1991-2020.zip")</f>
        <v>https://climate.onebuilding.org/WMO_Region_4_North_and_Central_America/USA_United_States_of_America/CA_California/USA_CA_Redding.Muni.AP.725920_US.Normals.1991-2020.zip</v>
      </c>
    </row>
    <row r="341" spans="1:10" x14ac:dyDescent="0.25">
      <c r="A341" t="s">
        <v>35</v>
      </c>
      <c r="B341" t="s">
        <v>181</v>
      </c>
      <c r="C341" t="s">
        <v>239</v>
      </c>
      <c r="D341" s="2">
        <v>725920</v>
      </c>
      <c r="E341" t="s">
        <v>13</v>
      </c>
      <c r="F341">
        <v>40.517499999999998</v>
      </c>
      <c r="G341">
        <v>-122.29859999999999</v>
      </c>
      <c r="H341">
        <v>-8</v>
      </c>
      <c r="I341">
        <v>151.5</v>
      </c>
      <c r="J341" t="str">
        <f>HYPERLINK("https://climate.onebuilding.org/WMO_Region_4_North_and_Central_America/USA_United_States_of_America/CA_California/USA_CA_Redding.Muni.AP.725920_US.Normals.2006-2020.zip")</f>
        <v>https://climate.onebuilding.org/WMO_Region_4_North_and_Central_America/USA_United_States_of_America/CA_California/USA_CA_Redding.Muni.AP.725920_US.Normals.2006-2020.zip</v>
      </c>
    </row>
    <row r="342" spans="1:10" x14ac:dyDescent="0.25">
      <c r="A342" t="s">
        <v>35</v>
      </c>
      <c r="B342" t="s">
        <v>181</v>
      </c>
      <c r="C342" t="s">
        <v>240</v>
      </c>
      <c r="D342" s="2">
        <v>722860</v>
      </c>
      <c r="E342" t="s">
        <v>13</v>
      </c>
      <c r="F342">
        <v>33.9</v>
      </c>
      <c r="G342">
        <v>-117.25</v>
      </c>
      <c r="H342">
        <v>-8</v>
      </c>
      <c r="I342">
        <v>462.1</v>
      </c>
      <c r="J342" t="str">
        <f>HYPERLINK("https://climate.onebuilding.org/WMO_Region_4_North_and_Central_America/USA_United_States_of_America/CA_California/USA_CA_Riverside-March.ARB.722860_US.Normals.1981-2010.zip")</f>
        <v>https://climate.onebuilding.org/WMO_Region_4_North_and_Central_America/USA_United_States_of_America/CA_California/USA_CA_Riverside-March.ARB.722860_US.Normals.1981-2010.zip</v>
      </c>
    </row>
    <row r="343" spans="1:10" x14ac:dyDescent="0.25">
      <c r="A343" t="s">
        <v>35</v>
      </c>
      <c r="B343" t="s">
        <v>181</v>
      </c>
      <c r="C343" t="s">
        <v>240</v>
      </c>
      <c r="D343" s="2">
        <v>722860</v>
      </c>
      <c r="E343" t="s">
        <v>13</v>
      </c>
      <c r="F343">
        <v>33.9</v>
      </c>
      <c r="G343">
        <v>-117.25</v>
      </c>
      <c r="H343">
        <v>-8</v>
      </c>
      <c r="I343">
        <v>462.1</v>
      </c>
      <c r="J343" t="str">
        <f>HYPERLINK("https://climate.onebuilding.org/WMO_Region_4_North_and_Central_America/USA_United_States_of_America/CA_California/USA_CA_Riverside-March.ARB.722860_US.Normals.1991-2020.zip")</f>
        <v>https://climate.onebuilding.org/WMO_Region_4_North_and_Central_America/USA_United_States_of_America/CA_California/USA_CA_Riverside-March.ARB.722860_US.Normals.1991-2020.zip</v>
      </c>
    </row>
    <row r="344" spans="1:10" x14ac:dyDescent="0.25">
      <c r="A344" t="s">
        <v>35</v>
      </c>
      <c r="B344" t="s">
        <v>181</v>
      </c>
      <c r="C344" t="s">
        <v>240</v>
      </c>
      <c r="D344" s="2">
        <v>722860</v>
      </c>
      <c r="E344" t="s">
        <v>13</v>
      </c>
      <c r="F344">
        <v>33.9</v>
      </c>
      <c r="G344">
        <v>-117.25</v>
      </c>
      <c r="H344">
        <v>-8</v>
      </c>
      <c r="I344">
        <v>462.1</v>
      </c>
      <c r="J344" t="str">
        <f>HYPERLINK("https://climate.onebuilding.org/WMO_Region_4_North_and_Central_America/USA_United_States_of_America/CA_California/USA_CA_Riverside-March.ARB.722860_US.Normals.2006-2020.zip")</f>
        <v>https://climate.onebuilding.org/WMO_Region_4_North_and_Central_America/USA_United_States_of_America/CA_California/USA_CA_Riverside-March.ARB.722860_US.Normals.2006-2020.zip</v>
      </c>
    </row>
    <row r="345" spans="1:10" x14ac:dyDescent="0.25">
      <c r="A345" t="s">
        <v>35</v>
      </c>
      <c r="B345" t="s">
        <v>181</v>
      </c>
      <c r="C345" t="s">
        <v>241</v>
      </c>
      <c r="D345" s="2">
        <v>722869</v>
      </c>
      <c r="E345" t="s">
        <v>13</v>
      </c>
      <c r="F345">
        <v>33.951900000000002</v>
      </c>
      <c r="G345">
        <v>-117.43859999999999</v>
      </c>
      <c r="H345">
        <v>-8</v>
      </c>
      <c r="I345">
        <v>245.4</v>
      </c>
      <c r="J345" t="str">
        <f>HYPERLINK("https://climate.onebuilding.org/WMO_Region_4_North_and_Central_America/USA_United_States_of_America/CA_California/USA_CA_Riverside.Muni.AP.722869_US.Normals.2006-2020.zip")</f>
        <v>https://climate.onebuilding.org/WMO_Region_4_North_and_Central_America/USA_United_States_of_America/CA_California/USA_CA_Riverside.Muni.AP.722869_US.Normals.2006-2020.zip</v>
      </c>
    </row>
    <row r="346" spans="1:10" x14ac:dyDescent="0.25">
      <c r="A346" t="s">
        <v>35</v>
      </c>
      <c r="B346" t="s">
        <v>181</v>
      </c>
      <c r="C346" t="s">
        <v>242</v>
      </c>
      <c r="D346" s="2">
        <v>724830</v>
      </c>
      <c r="E346" t="s">
        <v>13</v>
      </c>
      <c r="F346">
        <v>38.506900000000002</v>
      </c>
      <c r="G346">
        <v>-121.495</v>
      </c>
      <c r="H346">
        <v>-8</v>
      </c>
      <c r="I346">
        <v>4.5999999999999996</v>
      </c>
      <c r="J346" t="str">
        <f>HYPERLINK("https://climate.onebuilding.org/WMO_Region_4_North_and_Central_America/USA_United_States_of_America/CA_California/USA_CA_Sacramento.Exec.AP.724830_US.Normals.1981-2010.zip")</f>
        <v>https://climate.onebuilding.org/WMO_Region_4_North_and_Central_America/USA_United_States_of_America/CA_California/USA_CA_Sacramento.Exec.AP.724830_US.Normals.1981-2010.zip</v>
      </c>
    </row>
    <row r="347" spans="1:10" x14ac:dyDescent="0.25">
      <c r="A347" t="s">
        <v>35</v>
      </c>
      <c r="B347" t="s">
        <v>181</v>
      </c>
      <c r="C347" t="s">
        <v>242</v>
      </c>
      <c r="D347" s="2">
        <v>724830</v>
      </c>
      <c r="E347" t="s">
        <v>13</v>
      </c>
      <c r="F347">
        <v>38.506900000000002</v>
      </c>
      <c r="G347">
        <v>-121.495</v>
      </c>
      <c r="H347">
        <v>-8</v>
      </c>
      <c r="I347">
        <v>4.5999999999999996</v>
      </c>
      <c r="J347" t="str">
        <f>HYPERLINK("https://climate.onebuilding.org/WMO_Region_4_North_and_Central_America/USA_United_States_of_America/CA_California/USA_CA_Sacramento.Exec.AP.724830_US.Normals.1991-2020.zip")</f>
        <v>https://climate.onebuilding.org/WMO_Region_4_North_and_Central_America/USA_United_States_of_America/CA_California/USA_CA_Sacramento.Exec.AP.724830_US.Normals.1991-2020.zip</v>
      </c>
    </row>
    <row r="348" spans="1:10" x14ac:dyDescent="0.25">
      <c r="A348" t="s">
        <v>35</v>
      </c>
      <c r="B348" t="s">
        <v>181</v>
      </c>
      <c r="C348" t="s">
        <v>242</v>
      </c>
      <c r="D348" s="2">
        <v>724830</v>
      </c>
      <c r="E348" t="s">
        <v>13</v>
      </c>
      <c r="F348">
        <v>38.506900000000002</v>
      </c>
      <c r="G348">
        <v>-121.495</v>
      </c>
      <c r="H348">
        <v>-8</v>
      </c>
      <c r="I348">
        <v>4.5999999999999996</v>
      </c>
      <c r="J348" t="str">
        <f>HYPERLINK("https://climate.onebuilding.org/WMO_Region_4_North_and_Central_America/USA_United_States_of_America/CA_California/USA_CA_Sacramento.Exec.AP.724830_US.Normals.2006-2020.zip")</f>
        <v>https://climate.onebuilding.org/WMO_Region_4_North_and_Central_America/USA_United_States_of_America/CA_California/USA_CA_Sacramento.Exec.AP.724830_US.Normals.2006-2020.zip</v>
      </c>
    </row>
    <row r="349" spans="1:10" x14ac:dyDescent="0.25">
      <c r="A349" t="s">
        <v>35</v>
      </c>
      <c r="B349" t="s">
        <v>181</v>
      </c>
      <c r="C349" t="s">
        <v>243</v>
      </c>
      <c r="D349" s="2">
        <v>724839</v>
      </c>
      <c r="E349" t="s">
        <v>13</v>
      </c>
      <c r="F349">
        <v>38.695599999999999</v>
      </c>
      <c r="G349">
        <v>-121.58969999999999</v>
      </c>
      <c r="H349">
        <v>-8</v>
      </c>
      <c r="I349">
        <v>7</v>
      </c>
      <c r="J349" t="str">
        <f>HYPERLINK("https://climate.onebuilding.org/WMO_Region_4_North_and_Central_America/USA_United_States_of_America/CA_California/USA_CA_Sacramento.Intl.AP.724839_US.Normals.1991-2020.zip")</f>
        <v>https://climate.onebuilding.org/WMO_Region_4_North_and_Central_America/USA_United_States_of_America/CA_California/USA_CA_Sacramento.Intl.AP.724839_US.Normals.1991-2020.zip</v>
      </c>
    </row>
    <row r="350" spans="1:10" x14ac:dyDescent="0.25">
      <c r="A350" t="s">
        <v>35</v>
      </c>
      <c r="B350" t="s">
        <v>181</v>
      </c>
      <c r="C350" t="s">
        <v>243</v>
      </c>
      <c r="D350" s="2">
        <v>724839</v>
      </c>
      <c r="E350" t="s">
        <v>13</v>
      </c>
      <c r="F350">
        <v>38.695599999999999</v>
      </c>
      <c r="G350">
        <v>-121.58969999999999</v>
      </c>
      <c r="H350">
        <v>-8</v>
      </c>
      <c r="I350">
        <v>7</v>
      </c>
      <c r="J350" t="str">
        <f>HYPERLINK("https://climate.onebuilding.org/WMO_Region_4_North_and_Central_America/USA_United_States_of_America/CA_California/USA_CA_Sacramento.Intl.AP.724839_US.Normals.2006-2020.zip")</f>
        <v>https://climate.onebuilding.org/WMO_Region_4_North_and_Central_America/USA_United_States_of_America/CA_California/USA_CA_Sacramento.Intl.AP.724839_US.Normals.2006-2020.zip</v>
      </c>
    </row>
    <row r="351" spans="1:10" x14ac:dyDescent="0.25">
      <c r="A351" t="s">
        <v>35</v>
      </c>
      <c r="B351" t="s">
        <v>181</v>
      </c>
      <c r="C351" t="s">
        <v>244</v>
      </c>
      <c r="D351" s="2">
        <v>725930</v>
      </c>
      <c r="E351" t="s">
        <v>13</v>
      </c>
      <c r="F351">
        <v>36.663600000000002</v>
      </c>
      <c r="G351">
        <v>-121.60809999999999</v>
      </c>
      <c r="H351">
        <v>-8</v>
      </c>
      <c r="I351">
        <v>22.6</v>
      </c>
      <c r="J351" t="str">
        <f>HYPERLINK("https://climate.onebuilding.org/WMO_Region_4_North_and_Central_America/USA_United_States_of_America/CA_California/USA_CA_Salinas.Muni.AP.725930_US.Normals.1981-2010.zip")</f>
        <v>https://climate.onebuilding.org/WMO_Region_4_North_and_Central_America/USA_United_States_of_America/CA_California/USA_CA_Salinas.Muni.AP.725930_US.Normals.1981-2010.zip</v>
      </c>
    </row>
    <row r="352" spans="1:10" x14ac:dyDescent="0.25">
      <c r="A352" t="s">
        <v>35</v>
      </c>
      <c r="B352" t="s">
        <v>181</v>
      </c>
      <c r="C352" t="s">
        <v>244</v>
      </c>
      <c r="D352" s="2">
        <v>725930</v>
      </c>
      <c r="E352" t="s">
        <v>13</v>
      </c>
      <c r="F352">
        <v>36.663600000000002</v>
      </c>
      <c r="G352">
        <v>-121.60809999999999</v>
      </c>
      <c r="H352">
        <v>-8</v>
      </c>
      <c r="I352">
        <v>22.6</v>
      </c>
      <c r="J352" t="str">
        <f>HYPERLINK("https://climate.onebuilding.org/WMO_Region_4_North_and_Central_America/USA_United_States_of_America/CA_California/USA_CA_Salinas.Muni.AP.725930_US.Normals.2006-2020.zip")</f>
        <v>https://climate.onebuilding.org/WMO_Region_4_North_and_Central_America/USA_United_States_of_America/CA_California/USA_CA_Salinas.Muni.AP.725930_US.Normals.2006-2020.zip</v>
      </c>
    </row>
    <row r="353" spans="1:10" x14ac:dyDescent="0.25">
      <c r="A353" t="s">
        <v>35</v>
      </c>
      <c r="B353" t="s">
        <v>181</v>
      </c>
      <c r="C353" t="s">
        <v>245</v>
      </c>
      <c r="D353" s="2">
        <v>722930</v>
      </c>
      <c r="E353" t="s">
        <v>13</v>
      </c>
      <c r="F353">
        <v>32.866700000000002</v>
      </c>
      <c r="G353">
        <v>-117.13330000000001</v>
      </c>
      <c r="H353">
        <v>-8</v>
      </c>
      <c r="I353">
        <v>145.4</v>
      </c>
      <c r="J353" t="str">
        <f>HYPERLINK("https://climate.onebuilding.org/WMO_Region_4_North_and_Central_America/USA_United_States_of_America/CA_California/USA_CA_San.Diego-MCAS.Miramar.722930_US.Normals.2006-2020.zip")</f>
        <v>https://climate.onebuilding.org/WMO_Region_4_North_and_Central_America/USA_United_States_of_America/CA_California/USA_CA_San.Diego-MCAS.Miramar.722930_US.Normals.2006-2020.zip</v>
      </c>
    </row>
    <row r="354" spans="1:10" x14ac:dyDescent="0.25">
      <c r="A354" t="s">
        <v>35</v>
      </c>
      <c r="B354" t="s">
        <v>181</v>
      </c>
      <c r="C354" t="s">
        <v>246</v>
      </c>
      <c r="D354" s="2">
        <v>722903</v>
      </c>
      <c r="E354" t="s">
        <v>13</v>
      </c>
      <c r="F354">
        <v>32.815800000000003</v>
      </c>
      <c r="G354">
        <v>-117.13939999999999</v>
      </c>
      <c r="H354">
        <v>-8</v>
      </c>
      <c r="I354">
        <v>127.1</v>
      </c>
      <c r="J354" t="str">
        <f>HYPERLINK("https://climate.onebuilding.org/WMO_Region_4_North_and_Central_America/USA_United_States_of_America/CA_California/USA_CA_San.Diego-Montgomery-Gibbs.Exec.AP.722903_US.Normals.2006-2020.zip")</f>
        <v>https://climate.onebuilding.org/WMO_Region_4_North_and_Central_America/USA_United_States_of_America/CA_California/USA_CA_San.Diego-Montgomery-Gibbs.Exec.AP.722903_US.Normals.2006-2020.zip</v>
      </c>
    </row>
    <row r="355" spans="1:10" x14ac:dyDescent="0.25">
      <c r="A355" t="s">
        <v>35</v>
      </c>
      <c r="B355" t="s">
        <v>181</v>
      </c>
      <c r="C355" t="s">
        <v>247</v>
      </c>
      <c r="D355" s="2">
        <v>722906</v>
      </c>
      <c r="E355" t="s">
        <v>13</v>
      </c>
      <c r="F355">
        <v>32.700000000000003</v>
      </c>
      <c r="G355">
        <v>-117.2</v>
      </c>
      <c r="H355">
        <v>-8</v>
      </c>
      <c r="I355">
        <v>7.9</v>
      </c>
      <c r="J355" t="str">
        <f>HYPERLINK("https://climate.onebuilding.org/WMO_Region_4_North_and_Central_America/USA_United_States_of_America/CA_California/USA_CA_San.Diego-NAS.North.Island-Halsey.Field.722906_US.Normals.1981-2010.zip")</f>
        <v>https://climate.onebuilding.org/WMO_Region_4_North_and_Central_America/USA_United_States_of_America/CA_California/USA_CA_San.Diego-NAS.North.Island-Halsey.Field.722906_US.Normals.1981-2010.zip</v>
      </c>
    </row>
    <row r="356" spans="1:10" x14ac:dyDescent="0.25">
      <c r="A356" t="s">
        <v>35</v>
      </c>
      <c r="B356" t="s">
        <v>181</v>
      </c>
      <c r="C356" t="s">
        <v>247</v>
      </c>
      <c r="D356" s="2">
        <v>722906</v>
      </c>
      <c r="E356" t="s">
        <v>13</v>
      </c>
      <c r="F356">
        <v>32.700000000000003</v>
      </c>
      <c r="G356">
        <v>-117.2</v>
      </c>
      <c r="H356">
        <v>-8</v>
      </c>
      <c r="I356">
        <v>7.9</v>
      </c>
      <c r="J356" t="str">
        <f>HYPERLINK("https://climate.onebuilding.org/WMO_Region_4_North_and_Central_America/USA_United_States_of_America/CA_California/USA_CA_San.Diego-NAS.North.Island-Halsey.Field.722906_US.Normals.1991-2020.zip")</f>
        <v>https://climate.onebuilding.org/WMO_Region_4_North_and_Central_America/USA_United_States_of_America/CA_California/USA_CA_San.Diego-NAS.North.Island-Halsey.Field.722906_US.Normals.1991-2020.zip</v>
      </c>
    </row>
    <row r="357" spans="1:10" x14ac:dyDescent="0.25">
      <c r="A357" t="s">
        <v>35</v>
      </c>
      <c r="B357" t="s">
        <v>181</v>
      </c>
      <c r="C357" t="s">
        <v>247</v>
      </c>
      <c r="D357" s="2">
        <v>722906</v>
      </c>
      <c r="E357" t="s">
        <v>13</v>
      </c>
      <c r="F357">
        <v>32.700000000000003</v>
      </c>
      <c r="G357">
        <v>-117.2</v>
      </c>
      <c r="H357">
        <v>-8</v>
      </c>
      <c r="I357">
        <v>7.9</v>
      </c>
      <c r="J357" t="str">
        <f>HYPERLINK("https://climate.onebuilding.org/WMO_Region_4_North_and_Central_America/USA_United_States_of_America/CA_California/USA_CA_San.Diego-NAS.North.Island-Halsey.Field.722906_US.Normals.2006-2020.zip")</f>
        <v>https://climate.onebuilding.org/WMO_Region_4_North_and_Central_America/USA_United_States_of_America/CA_California/USA_CA_San.Diego-NAS.North.Island-Halsey.Field.722906_US.Normals.2006-2020.zip</v>
      </c>
    </row>
    <row r="358" spans="1:10" x14ac:dyDescent="0.25">
      <c r="A358" t="s">
        <v>35</v>
      </c>
      <c r="B358" t="s">
        <v>181</v>
      </c>
      <c r="C358" t="s">
        <v>248</v>
      </c>
      <c r="D358" s="2">
        <v>722900</v>
      </c>
      <c r="E358" t="s">
        <v>13</v>
      </c>
      <c r="F358">
        <v>32.733600000000003</v>
      </c>
      <c r="G358">
        <v>-117.1831</v>
      </c>
      <c r="H358">
        <v>-8</v>
      </c>
      <c r="I358">
        <v>4.5999999999999996</v>
      </c>
      <c r="J358" t="str">
        <f>HYPERLINK("https://climate.onebuilding.org/WMO_Region_4_North_and_Central_America/USA_United_States_of_America/CA_California/USA_CA_San.Diego.Intl.AP-Lindbergh.Field.722900_US.Normals.1981-2010.zip")</f>
        <v>https://climate.onebuilding.org/WMO_Region_4_North_and_Central_America/USA_United_States_of_America/CA_California/USA_CA_San.Diego.Intl.AP-Lindbergh.Field.722900_US.Normals.1981-2010.zip</v>
      </c>
    </row>
    <row r="359" spans="1:10" x14ac:dyDescent="0.25">
      <c r="A359" t="s">
        <v>35</v>
      </c>
      <c r="B359" t="s">
        <v>181</v>
      </c>
      <c r="C359" t="s">
        <v>248</v>
      </c>
      <c r="D359" s="2">
        <v>722900</v>
      </c>
      <c r="E359" t="s">
        <v>13</v>
      </c>
      <c r="F359">
        <v>32.733600000000003</v>
      </c>
      <c r="G359">
        <v>-117.1831</v>
      </c>
      <c r="H359">
        <v>-8</v>
      </c>
      <c r="I359">
        <v>4.5999999999999996</v>
      </c>
      <c r="J359" t="str">
        <f>HYPERLINK("https://climate.onebuilding.org/WMO_Region_4_North_and_Central_America/USA_United_States_of_America/CA_California/USA_CA_San.Diego.Intl.AP-Lindbergh.Field.722900_US.Normals.1991-2020.zip")</f>
        <v>https://climate.onebuilding.org/WMO_Region_4_North_and_Central_America/USA_United_States_of_America/CA_California/USA_CA_San.Diego.Intl.AP-Lindbergh.Field.722900_US.Normals.1991-2020.zip</v>
      </c>
    </row>
    <row r="360" spans="1:10" x14ac:dyDescent="0.25">
      <c r="A360" t="s">
        <v>35</v>
      </c>
      <c r="B360" t="s">
        <v>181</v>
      </c>
      <c r="C360" t="s">
        <v>248</v>
      </c>
      <c r="D360" s="2">
        <v>722900</v>
      </c>
      <c r="E360" t="s">
        <v>13</v>
      </c>
      <c r="F360">
        <v>32.733600000000003</v>
      </c>
      <c r="G360">
        <v>-117.1831</v>
      </c>
      <c r="H360">
        <v>-8</v>
      </c>
      <c r="I360">
        <v>4.5999999999999996</v>
      </c>
      <c r="J360" t="str">
        <f>HYPERLINK("https://climate.onebuilding.org/WMO_Region_4_North_and_Central_America/USA_United_States_of_America/CA_California/USA_CA_San.Diego.Intl.AP-Lindbergh.Field.722900_US.Normals.2006-2020.zip")</f>
        <v>https://climate.onebuilding.org/WMO_Region_4_North_and_Central_America/USA_United_States_of_America/CA_California/USA_CA_San.Diego.Intl.AP-Lindbergh.Field.722900_US.Normals.2006-2020.zip</v>
      </c>
    </row>
    <row r="361" spans="1:10" x14ac:dyDescent="0.25">
      <c r="A361" t="s">
        <v>35</v>
      </c>
      <c r="B361" t="s">
        <v>181</v>
      </c>
      <c r="C361" t="s">
        <v>249</v>
      </c>
      <c r="D361" s="2">
        <v>724940</v>
      </c>
      <c r="E361" t="s">
        <v>13</v>
      </c>
      <c r="F361">
        <v>37.619700000000002</v>
      </c>
      <c r="G361">
        <v>-122.3647</v>
      </c>
      <c r="H361">
        <v>-8</v>
      </c>
      <c r="I361">
        <v>2.4</v>
      </c>
      <c r="J361" t="str">
        <f>HYPERLINK("https://climate.onebuilding.org/WMO_Region_4_North_and_Central_America/USA_United_States_of_America/CA_California/USA_CA_San.Francisco.Intl.AP.724940_US.Normals.1981-2010.zip")</f>
        <v>https://climate.onebuilding.org/WMO_Region_4_North_and_Central_America/USA_United_States_of_America/CA_California/USA_CA_San.Francisco.Intl.AP.724940_US.Normals.1981-2010.zip</v>
      </c>
    </row>
    <row r="362" spans="1:10" x14ac:dyDescent="0.25">
      <c r="A362" t="s">
        <v>35</v>
      </c>
      <c r="B362" t="s">
        <v>181</v>
      </c>
      <c r="C362" t="s">
        <v>249</v>
      </c>
      <c r="D362" s="2">
        <v>724940</v>
      </c>
      <c r="E362" t="s">
        <v>13</v>
      </c>
      <c r="F362">
        <v>37.619700000000002</v>
      </c>
      <c r="G362">
        <v>-122.3647</v>
      </c>
      <c r="H362">
        <v>-8</v>
      </c>
      <c r="I362">
        <v>2.4</v>
      </c>
      <c r="J362" t="str">
        <f>HYPERLINK("https://climate.onebuilding.org/WMO_Region_4_North_and_Central_America/USA_United_States_of_America/CA_California/USA_CA_San.Francisco.Intl.AP.724940_US.Normals.1991-2020.zip")</f>
        <v>https://climate.onebuilding.org/WMO_Region_4_North_and_Central_America/USA_United_States_of_America/CA_California/USA_CA_San.Francisco.Intl.AP.724940_US.Normals.1991-2020.zip</v>
      </c>
    </row>
    <row r="363" spans="1:10" x14ac:dyDescent="0.25">
      <c r="A363" t="s">
        <v>35</v>
      </c>
      <c r="B363" t="s">
        <v>181</v>
      </c>
      <c r="C363" t="s">
        <v>249</v>
      </c>
      <c r="D363" s="2">
        <v>724940</v>
      </c>
      <c r="E363" t="s">
        <v>13</v>
      </c>
      <c r="F363">
        <v>37.619700000000002</v>
      </c>
      <c r="G363">
        <v>-122.3647</v>
      </c>
      <c r="H363">
        <v>-8</v>
      </c>
      <c r="I363">
        <v>2.4</v>
      </c>
      <c r="J363" t="str">
        <f>HYPERLINK("https://climate.onebuilding.org/WMO_Region_4_North_and_Central_America/USA_United_States_of_America/CA_California/USA_CA_San.Francisco.Intl.AP.724940_US.Normals.2006-2020.zip")</f>
        <v>https://climate.onebuilding.org/WMO_Region_4_North_and_Central_America/USA_United_States_of_America/CA_California/USA_CA_San.Francisco.Intl.AP.724940_US.Normals.2006-2020.zip</v>
      </c>
    </row>
    <row r="364" spans="1:10" x14ac:dyDescent="0.25">
      <c r="A364" t="s">
        <v>35</v>
      </c>
      <c r="B364" t="s">
        <v>181</v>
      </c>
      <c r="C364" t="s">
        <v>250</v>
      </c>
      <c r="D364" s="2">
        <v>724945</v>
      </c>
      <c r="E364" t="s">
        <v>13</v>
      </c>
      <c r="F364">
        <v>37.359200000000001</v>
      </c>
      <c r="G364">
        <v>-121.9239</v>
      </c>
      <c r="H364">
        <v>-8</v>
      </c>
      <c r="I364">
        <v>15.5</v>
      </c>
      <c r="J364" t="str">
        <f>HYPERLINK("https://climate.onebuilding.org/WMO_Region_4_North_and_Central_America/USA_United_States_of_America/CA_California/USA_CA_San.Jose-Mineta.Intl.AP.724945_US.Normals.2006-2020.zip")</f>
        <v>https://climate.onebuilding.org/WMO_Region_4_North_and_Central_America/USA_United_States_of_America/CA_California/USA_CA_San.Jose-Mineta.Intl.AP.724945_US.Normals.2006-2020.zip</v>
      </c>
    </row>
    <row r="365" spans="1:10" x14ac:dyDescent="0.25">
      <c r="A365" t="s">
        <v>35</v>
      </c>
      <c r="B365" t="s">
        <v>181</v>
      </c>
      <c r="C365" t="s">
        <v>251</v>
      </c>
      <c r="D365" s="2">
        <v>722897</v>
      </c>
      <c r="E365" t="s">
        <v>13</v>
      </c>
      <c r="F365">
        <v>35.237200000000001</v>
      </c>
      <c r="G365">
        <v>-120.6414</v>
      </c>
      <c r="H365">
        <v>-8</v>
      </c>
      <c r="I365">
        <v>61</v>
      </c>
      <c r="J365" t="str">
        <f>HYPERLINK("https://climate.onebuilding.org/WMO_Region_4_North_and_Central_America/USA_United_States_of_America/CA_California/USA_CA_San.Luis.Obispo.County.Rgnl.AP.722897_US.Normals.2006-2020.zip")</f>
        <v>https://climate.onebuilding.org/WMO_Region_4_North_and_Central_America/USA_United_States_of_America/CA_California/USA_CA_San.Luis.Obispo.County.Rgnl.AP.722897_US.Normals.2006-2020.zip</v>
      </c>
    </row>
    <row r="366" spans="1:10" x14ac:dyDescent="0.25">
      <c r="A366" t="s">
        <v>35</v>
      </c>
      <c r="B366" t="s">
        <v>181</v>
      </c>
      <c r="C366" t="s">
        <v>252</v>
      </c>
      <c r="D366" s="2">
        <v>722977</v>
      </c>
      <c r="E366" t="s">
        <v>13</v>
      </c>
      <c r="F366">
        <v>33.68</v>
      </c>
      <c r="G366">
        <v>-117.8664</v>
      </c>
      <c r="H366">
        <v>-8</v>
      </c>
      <c r="I366">
        <v>16.5</v>
      </c>
      <c r="J366" t="str">
        <f>HYPERLINK("https://climate.onebuilding.org/WMO_Region_4_North_and_Central_America/USA_United_States_of_America/CA_California/USA_CA_Santa.Ana-Orange.County-Wayne.Intl.AP.722977_US.Normals.2006-2020.zip")</f>
        <v>https://climate.onebuilding.org/WMO_Region_4_North_and_Central_America/USA_United_States_of_America/CA_California/USA_CA_Santa.Ana-Orange.County-Wayne.Intl.AP.722977_US.Normals.2006-2020.zip</v>
      </c>
    </row>
    <row r="367" spans="1:10" x14ac:dyDescent="0.25">
      <c r="A367" t="s">
        <v>35</v>
      </c>
      <c r="B367" t="s">
        <v>181</v>
      </c>
      <c r="C367" t="s">
        <v>253</v>
      </c>
      <c r="D367" s="2">
        <v>723925</v>
      </c>
      <c r="E367" t="s">
        <v>13</v>
      </c>
      <c r="F367">
        <v>34.425800000000002</v>
      </c>
      <c r="G367">
        <v>-119.8425</v>
      </c>
      <c r="H367">
        <v>-8</v>
      </c>
      <c r="I367">
        <v>2.7</v>
      </c>
      <c r="J367" t="str">
        <f>HYPERLINK("https://climate.onebuilding.org/WMO_Region_4_North_and_Central_America/USA_United_States_of_America/CA_California/USA_CA_Santa.Barbara.Muni.AP.723925_US.Normals.1991-2020.zip")</f>
        <v>https://climate.onebuilding.org/WMO_Region_4_North_and_Central_America/USA_United_States_of_America/CA_California/USA_CA_Santa.Barbara.Muni.AP.723925_US.Normals.1991-2020.zip</v>
      </c>
    </row>
    <row r="368" spans="1:10" x14ac:dyDescent="0.25">
      <c r="A368" t="s">
        <v>35</v>
      </c>
      <c r="B368" t="s">
        <v>181</v>
      </c>
      <c r="C368" t="s">
        <v>253</v>
      </c>
      <c r="D368" s="2">
        <v>723925</v>
      </c>
      <c r="E368" t="s">
        <v>13</v>
      </c>
      <c r="F368">
        <v>34.425800000000002</v>
      </c>
      <c r="G368">
        <v>-119.8425</v>
      </c>
      <c r="H368">
        <v>-8</v>
      </c>
      <c r="I368">
        <v>2.7</v>
      </c>
      <c r="J368" t="str">
        <f>HYPERLINK("https://climate.onebuilding.org/WMO_Region_4_North_and_Central_America/USA_United_States_of_America/CA_California/USA_CA_Santa.Barbara.Muni.AP.723925_US.Normals.2006-2020.zip")</f>
        <v>https://climate.onebuilding.org/WMO_Region_4_North_and_Central_America/USA_United_States_of_America/CA_California/USA_CA_Santa.Barbara.Muni.AP.723925_US.Normals.2006-2020.zip</v>
      </c>
    </row>
    <row r="369" spans="1:10" x14ac:dyDescent="0.25">
      <c r="A369" t="s">
        <v>35</v>
      </c>
      <c r="B369" t="s">
        <v>181</v>
      </c>
      <c r="C369" t="s">
        <v>254</v>
      </c>
      <c r="D369" s="2">
        <v>723940</v>
      </c>
      <c r="E369" t="s">
        <v>13</v>
      </c>
      <c r="F369">
        <v>34.8994</v>
      </c>
      <c r="G369">
        <v>-120.4486</v>
      </c>
      <c r="H369">
        <v>-8</v>
      </c>
      <c r="I369">
        <v>73.8</v>
      </c>
      <c r="J369" t="str">
        <f>HYPERLINK("https://climate.onebuilding.org/WMO_Region_4_North_and_Central_America/USA_United_States_of_America/CA_California/USA_CA_Santa.Maria.Public.AP-Hancock.Field.723940_US.Normals.1991-2020.zip")</f>
        <v>https://climate.onebuilding.org/WMO_Region_4_North_and_Central_America/USA_United_States_of_America/CA_California/USA_CA_Santa.Maria.Public.AP-Hancock.Field.723940_US.Normals.1991-2020.zip</v>
      </c>
    </row>
    <row r="370" spans="1:10" x14ac:dyDescent="0.25">
      <c r="A370" t="s">
        <v>35</v>
      </c>
      <c r="B370" t="s">
        <v>181</v>
      </c>
      <c r="C370" t="s">
        <v>254</v>
      </c>
      <c r="D370" s="2">
        <v>723940</v>
      </c>
      <c r="E370" t="s">
        <v>13</v>
      </c>
      <c r="F370">
        <v>34.8994</v>
      </c>
      <c r="G370">
        <v>-120.4486</v>
      </c>
      <c r="H370">
        <v>-8</v>
      </c>
      <c r="I370">
        <v>73.8</v>
      </c>
      <c r="J370" t="str">
        <f>HYPERLINK("https://climate.onebuilding.org/WMO_Region_4_North_and_Central_America/USA_United_States_of_America/CA_California/USA_CA_Santa.Maria.Public.AP-Hancock.Field.723940_US.Normals.2006-2020.zip")</f>
        <v>https://climate.onebuilding.org/WMO_Region_4_North_and_Central_America/USA_United_States_of_America/CA_California/USA_CA_Santa.Maria.Public.AP-Hancock.Field.723940_US.Normals.2006-2020.zip</v>
      </c>
    </row>
    <row r="371" spans="1:10" x14ac:dyDescent="0.25">
      <c r="A371" t="s">
        <v>35</v>
      </c>
      <c r="B371" t="s">
        <v>181</v>
      </c>
      <c r="C371" t="s">
        <v>255</v>
      </c>
      <c r="D371" s="2">
        <v>722885</v>
      </c>
      <c r="E371" t="s">
        <v>13</v>
      </c>
      <c r="F371">
        <v>34.015799999999999</v>
      </c>
      <c r="G371">
        <v>-118.45140000000001</v>
      </c>
      <c r="H371">
        <v>-8</v>
      </c>
      <c r="I371">
        <v>53</v>
      </c>
      <c r="J371" t="str">
        <f>HYPERLINK("https://climate.onebuilding.org/WMO_Region_4_North_and_Central_America/USA_United_States_of_America/CA_California/USA_CA_Santa.Monica.AP.722885_US.Normals.2006-2020.zip")</f>
        <v>https://climate.onebuilding.org/WMO_Region_4_North_and_Central_America/USA_United_States_of_America/CA_California/USA_CA_Santa.Monica.AP.722885_US.Normals.2006-2020.zip</v>
      </c>
    </row>
    <row r="372" spans="1:10" x14ac:dyDescent="0.25">
      <c r="A372" t="s">
        <v>35</v>
      </c>
      <c r="B372" t="s">
        <v>181</v>
      </c>
      <c r="C372" t="s">
        <v>256</v>
      </c>
      <c r="D372" s="2">
        <v>724957</v>
      </c>
      <c r="E372" t="s">
        <v>13</v>
      </c>
      <c r="F372">
        <v>38.503900000000002</v>
      </c>
      <c r="G372">
        <v>-122.8103</v>
      </c>
      <c r="H372">
        <v>-8</v>
      </c>
      <c r="I372">
        <v>34.700000000000003</v>
      </c>
      <c r="J372" t="str">
        <f>HYPERLINK("https://climate.onebuilding.org/WMO_Region_4_North_and_Central_America/USA_United_States_of_America/CA_California/USA_CA_Santa.Rosa-Schulz-Sonoma.County.AP.724957_US.Normals.2006-2020.zip")</f>
        <v>https://climate.onebuilding.org/WMO_Region_4_North_and_Central_America/USA_United_States_of_America/CA_California/USA_CA_Santa.Rosa-Schulz-Sonoma.County.AP.724957_US.Normals.2006-2020.zip</v>
      </c>
    </row>
    <row r="373" spans="1:10" x14ac:dyDescent="0.25">
      <c r="A373" t="s">
        <v>35</v>
      </c>
      <c r="B373" t="s">
        <v>181</v>
      </c>
      <c r="C373" t="s">
        <v>257</v>
      </c>
      <c r="D373" s="2">
        <v>725847</v>
      </c>
      <c r="E373" t="s">
        <v>13</v>
      </c>
      <c r="F373">
        <v>38.898299999999999</v>
      </c>
      <c r="G373">
        <v>-119.99469999999999</v>
      </c>
      <c r="H373">
        <v>-8</v>
      </c>
      <c r="I373">
        <v>1924.5</v>
      </c>
      <c r="J373" t="str">
        <f>HYPERLINK("https://climate.onebuilding.org/WMO_Region_4_North_and_Central_America/USA_United_States_of_America/CA_California/USA_CA_South.Lake.Tahoe-Lake.Tahoe.AP.725847_US.Normals.2006-2020.zip")</f>
        <v>https://climate.onebuilding.org/WMO_Region_4_North_and_Central_America/USA_United_States_of_America/CA_California/USA_CA_South.Lake.Tahoe-Lake.Tahoe.AP.725847_US.Normals.2006-2020.zip</v>
      </c>
    </row>
    <row r="374" spans="1:10" x14ac:dyDescent="0.25">
      <c r="A374" t="s">
        <v>35</v>
      </c>
      <c r="B374" t="s">
        <v>181</v>
      </c>
      <c r="C374" t="s">
        <v>258</v>
      </c>
      <c r="D374" s="2">
        <v>724920</v>
      </c>
      <c r="E374" t="s">
        <v>13</v>
      </c>
      <c r="F374">
        <v>37.889200000000002</v>
      </c>
      <c r="G374">
        <v>-121.22580000000001</v>
      </c>
      <c r="H374">
        <v>-8</v>
      </c>
      <c r="I374">
        <v>7.9</v>
      </c>
      <c r="J374" t="str">
        <f>HYPERLINK("https://climate.onebuilding.org/WMO_Region_4_North_and_Central_America/USA_United_States_of_America/CA_California/USA_CA_Stockton.Metro.AP.724920_US.Normals.1991-2020.zip")</f>
        <v>https://climate.onebuilding.org/WMO_Region_4_North_and_Central_America/USA_United_States_of_America/CA_California/USA_CA_Stockton.Metro.AP.724920_US.Normals.1991-2020.zip</v>
      </c>
    </row>
    <row r="375" spans="1:10" x14ac:dyDescent="0.25">
      <c r="A375" t="s">
        <v>35</v>
      </c>
      <c r="B375" t="s">
        <v>181</v>
      </c>
      <c r="C375" t="s">
        <v>258</v>
      </c>
      <c r="D375" s="2">
        <v>724920</v>
      </c>
      <c r="E375" t="s">
        <v>13</v>
      </c>
      <c r="F375">
        <v>37.889200000000002</v>
      </c>
      <c r="G375">
        <v>-121.22580000000001</v>
      </c>
      <c r="H375">
        <v>-8</v>
      </c>
      <c r="I375">
        <v>7.9</v>
      </c>
      <c r="J375" t="str">
        <f>HYPERLINK("https://climate.onebuilding.org/WMO_Region_4_North_and_Central_America/USA_United_States_of_America/CA_California/USA_CA_Stockton.Metro.AP.724920_US.Normals.2006-2020.zip")</f>
        <v>https://climate.onebuilding.org/WMO_Region_4_North_and_Central_America/USA_United_States_of_America/CA_California/USA_CA_Stockton.Metro.AP.724920_US.Normals.2006-2020.zip</v>
      </c>
    </row>
    <row r="376" spans="1:10" x14ac:dyDescent="0.25">
      <c r="A376" t="s">
        <v>35</v>
      </c>
      <c r="B376" t="s">
        <v>181</v>
      </c>
      <c r="C376" t="s">
        <v>259</v>
      </c>
      <c r="D376" s="2">
        <v>746130</v>
      </c>
      <c r="E376" t="s">
        <v>13</v>
      </c>
      <c r="F376">
        <v>36.601900000000001</v>
      </c>
      <c r="G376">
        <v>-117.145</v>
      </c>
      <c r="H376">
        <v>-8</v>
      </c>
      <c r="I376">
        <v>25.6</v>
      </c>
      <c r="J376" t="str">
        <f>HYPERLINK("https://climate.onebuilding.org/WMO_Region_4_North_and_Central_America/USA_United_States_of_America/CA_California/USA_CA_Stovepipe.Wells-Death.Valley.Natl.Park.746130_US.Normals.2006-2020.zip")</f>
        <v>https://climate.onebuilding.org/WMO_Region_4_North_and_Central_America/USA_United_States_of_America/CA_California/USA_CA_Stovepipe.Wells-Death.Valley.Natl.Park.746130_US.Normals.2006-2020.zip</v>
      </c>
    </row>
    <row r="377" spans="1:10" x14ac:dyDescent="0.25">
      <c r="A377" t="s">
        <v>35</v>
      </c>
      <c r="B377" t="s">
        <v>181</v>
      </c>
      <c r="C377" t="s">
        <v>260</v>
      </c>
      <c r="D377" s="2">
        <v>745020</v>
      </c>
      <c r="E377" t="s">
        <v>13</v>
      </c>
      <c r="F377">
        <v>33.4392</v>
      </c>
      <c r="G377">
        <v>-117.19029999999999</v>
      </c>
      <c r="H377">
        <v>-8</v>
      </c>
      <c r="I377">
        <v>347.5</v>
      </c>
      <c r="J377" t="str">
        <f>HYPERLINK("https://climate.onebuilding.org/WMO_Region_4_North_and_Central_America/USA_United_States_of_America/CA_California/USA_CA_Temecula-San.Diego.State.Univ.745020_US.Normals.2006-2020.zip")</f>
        <v>https://climate.onebuilding.org/WMO_Region_4_North_and_Central_America/USA_United_States_of_America/CA_California/USA_CA_Temecula-San.Diego.State.Univ.745020_US.Normals.2006-2020.zip</v>
      </c>
    </row>
    <row r="378" spans="1:10" x14ac:dyDescent="0.25">
      <c r="A378" t="s">
        <v>35</v>
      </c>
      <c r="B378" t="s">
        <v>181</v>
      </c>
      <c r="C378" t="s">
        <v>261</v>
      </c>
      <c r="D378" s="2">
        <v>690150</v>
      </c>
      <c r="E378" t="s">
        <v>13</v>
      </c>
      <c r="F378">
        <v>34.299999999999997</v>
      </c>
      <c r="G378">
        <v>-116.16670000000001</v>
      </c>
      <c r="H378">
        <v>-8</v>
      </c>
      <c r="I378">
        <v>643.1</v>
      </c>
      <c r="J378" t="str">
        <f>HYPERLINK("https://climate.onebuilding.org/WMO_Region_4_North_and_Central_America/USA_United_States_of_America/CA_California/USA_CA_Twentynine.Palms.SELF.690150_US.Normals.2006-2020.zip")</f>
        <v>https://climate.onebuilding.org/WMO_Region_4_North_and_Central_America/USA_United_States_of_America/CA_California/USA_CA_Twentynine.Palms.SELF.690150_US.Normals.2006-2020.zip</v>
      </c>
    </row>
    <row r="379" spans="1:10" x14ac:dyDescent="0.25">
      <c r="A379" t="s">
        <v>35</v>
      </c>
      <c r="B379" t="s">
        <v>181</v>
      </c>
      <c r="C379" t="s">
        <v>262</v>
      </c>
      <c r="D379" s="2">
        <v>725905</v>
      </c>
      <c r="E379" t="s">
        <v>13</v>
      </c>
      <c r="F379">
        <v>39.125799999999998</v>
      </c>
      <c r="G379">
        <v>-123.2008</v>
      </c>
      <c r="H379">
        <v>-8</v>
      </c>
      <c r="I379">
        <v>183.2</v>
      </c>
      <c r="J379" t="str">
        <f>HYPERLINK("https://climate.onebuilding.org/WMO_Region_4_North_and_Central_America/USA_United_States_of_America/CA_California/USA_CA_Ukiah.Muni.AP.725905_US.Normals.1991-2020.zip")</f>
        <v>https://climate.onebuilding.org/WMO_Region_4_North_and_Central_America/USA_United_States_of_America/CA_California/USA_CA_Ukiah.Muni.AP.725905_US.Normals.1991-2020.zip</v>
      </c>
    </row>
    <row r="380" spans="1:10" x14ac:dyDescent="0.25">
      <c r="A380" t="s">
        <v>35</v>
      </c>
      <c r="B380" t="s">
        <v>181</v>
      </c>
      <c r="C380" t="s">
        <v>262</v>
      </c>
      <c r="D380" s="2">
        <v>725905</v>
      </c>
      <c r="E380" t="s">
        <v>13</v>
      </c>
      <c r="F380">
        <v>39.125799999999998</v>
      </c>
      <c r="G380">
        <v>-123.2008</v>
      </c>
      <c r="H380">
        <v>-8</v>
      </c>
      <c r="I380">
        <v>183.2</v>
      </c>
      <c r="J380" t="str">
        <f>HYPERLINK("https://climate.onebuilding.org/WMO_Region_4_North_and_Central_America/USA_United_States_of_America/CA_California/USA_CA_Ukiah.Muni.AP.725905_US.Normals.2006-2020.zip")</f>
        <v>https://climate.onebuilding.org/WMO_Region_4_North_and_Central_America/USA_United_States_of_America/CA_California/USA_CA_Ukiah.Muni.AP.725905_US.Normals.2006-2020.zip</v>
      </c>
    </row>
    <row r="381" spans="1:10" x14ac:dyDescent="0.25">
      <c r="A381" t="s">
        <v>35</v>
      </c>
      <c r="B381" t="s">
        <v>181</v>
      </c>
      <c r="C381" t="s">
        <v>263</v>
      </c>
      <c r="D381" s="2">
        <v>722886</v>
      </c>
      <c r="E381" t="s">
        <v>13</v>
      </c>
      <c r="F381">
        <v>34.209699999999998</v>
      </c>
      <c r="G381">
        <v>-118.4892</v>
      </c>
      <c r="H381">
        <v>-8</v>
      </c>
      <c r="I381">
        <v>234.7</v>
      </c>
      <c r="J381" t="str">
        <f>HYPERLINK("https://climate.onebuilding.org/WMO_Region_4_North_and_Central_America/USA_United_States_of_America/CA_California/USA_CA_Van.Nuys.AP.722886_US.Normals.2006-2020.zip")</f>
        <v>https://climate.onebuilding.org/WMO_Region_4_North_and_Central_America/USA_United_States_of_America/CA_California/USA_CA_Van.Nuys.AP.722886_US.Normals.2006-2020.zip</v>
      </c>
    </row>
    <row r="382" spans="1:10" x14ac:dyDescent="0.25">
      <c r="A382" t="s">
        <v>35</v>
      </c>
      <c r="B382" t="s">
        <v>181</v>
      </c>
      <c r="C382" t="s">
        <v>264</v>
      </c>
      <c r="D382" s="2">
        <v>723930</v>
      </c>
      <c r="E382" t="s">
        <v>13</v>
      </c>
      <c r="F382">
        <v>34.716700000000003</v>
      </c>
      <c r="G382">
        <v>-120.5667</v>
      </c>
      <c r="H382">
        <v>-8</v>
      </c>
      <c r="I382">
        <v>116.1</v>
      </c>
      <c r="J382" t="str">
        <f>HYPERLINK("https://climate.onebuilding.org/WMO_Region_4_North_and_Central_America/USA_United_States_of_America/CA_California/USA_CA_Vandenberg.AFB.723930_US.Normals.2006-2020.zip")</f>
        <v>https://climate.onebuilding.org/WMO_Region_4_North_and_Central_America/USA_United_States_of_America/CA_California/USA_CA_Vandenberg.AFB.723930_US.Normals.2006-2020.zip</v>
      </c>
    </row>
    <row r="383" spans="1:10" x14ac:dyDescent="0.25">
      <c r="A383" t="s">
        <v>35</v>
      </c>
      <c r="B383" t="s">
        <v>181</v>
      </c>
      <c r="C383" t="s">
        <v>265</v>
      </c>
      <c r="D383" s="2">
        <v>745058</v>
      </c>
      <c r="E383" t="s">
        <v>13</v>
      </c>
      <c r="F383">
        <v>36.9358</v>
      </c>
      <c r="G383">
        <v>-121.7886</v>
      </c>
      <c r="H383">
        <v>-8</v>
      </c>
      <c r="I383">
        <v>48.8</v>
      </c>
      <c r="J383" t="str">
        <f>HYPERLINK("https://climate.onebuilding.org/WMO_Region_4_North_and_Central_America/USA_United_States_of_America/CA_California/USA_CA_Watsonville.Muni.AP.745058_US.Normals.2006-2020.zip")</f>
        <v>https://climate.onebuilding.org/WMO_Region_4_North_and_Central_America/USA_United_States_of_America/CA_California/USA_CA_Watsonville.Muni.AP.745058_US.Normals.2006-2020.zip</v>
      </c>
    </row>
    <row r="384" spans="1:10" x14ac:dyDescent="0.25">
      <c r="A384" t="s">
        <v>35</v>
      </c>
      <c r="B384" t="s">
        <v>266</v>
      </c>
      <c r="C384" t="s">
        <v>267</v>
      </c>
      <c r="D384" s="2">
        <v>724698</v>
      </c>
      <c r="E384" t="s">
        <v>13</v>
      </c>
      <c r="F384">
        <v>40.166699999999999</v>
      </c>
      <c r="G384">
        <v>-103.2167</v>
      </c>
      <c r="H384">
        <v>-7</v>
      </c>
      <c r="I384">
        <v>1421.3</v>
      </c>
      <c r="J384" t="str">
        <f>HYPERLINK("https://climate.onebuilding.org/WMO_Region_4_North_and_Central_America/USA_United_States_of_America/CO_Colorado/USA_CO_Akron-Colorado.Plains.Rgnl.AP.724698_US.Normals.1991-2020.zip")</f>
        <v>https://climate.onebuilding.org/WMO_Region_4_North_and_Central_America/USA_United_States_of_America/CO_Colorado/USA_CO_Akron-Colorado.Plains.Rgnl.AP.724698_US.Normals.1991-2020.zip</v>
      </c>
    </row>
    <row r="385" spans="1:10" x14ac:dyDescent="0.25">
      <c r="A385" t="s">
        <v>35</v>
      </c>
      <c r="B385" t="s">
        <v>266</v>
      </c>
      <c r="C385" t="s">
        <v>267</v>
      </c>
      <c r="D385" s="2">
        <v>724698</v>
      </c>
      <c r="E385" t="s">
        <v>13</v>
      </c>
      <c r="F385">
        <v>40.166699999999999</v>
      </c>
      <c r="G385">
        <v>-103.2167</v>
      </c>
      <c r="H385">
        <v>-7</v>
      </c>
      <c r="I385">
        <v>1421.3</v>
      </c>
      <c r="J385" t="str">
        <f>HYPERLINK("https://climate.onebuilding.org/WMO_Region_4_North_and_Central_America/USA_United_States_of_America/CO_Colorado/USA_CO_Akron-Colorado.Plains.Rgnl.AP.724698_US.Normals.2006-2020.zip")</f>
        <v>https://climate.onebuilding.org/WMO_Region_4_North_and_Central_America/USA_United_States_of_America/CO_Colorado/USA_CO_Akron-Colorado.Plains.Rgnl.AP.724698_US.Normals.2006-2020.zip</v>
      </c>
    </row>
    <row r="386" spans="1:10" x14ac:dyDescent="0.25">
      <c r="A386" t="s">
        <v>35</v>
      </c>
      <c r="B386" t="s">
        <v>266</v>
      </c>
      <c r="C386" t="s">
        <v>268</v>
      </c>
      <c r="D386" s="2">
        <v>724620</v>
      </c>
      <c r="E386" t="s">
        <v>13</v>
      </c>
      <c r="F386">
        <v>37.438899999999997</v>
      </c>
      <c r="G386">
        <v>-105.8614</v>
      </c>
      <c r="H386">
        <v>-7</v>
      </c>
      <c r="I386">
        <v>2296.1</v>
      </c>
      <c r="J386" t="str">
        <f>HYPERLINK("https://climate.onebuilding.org/WMO_Region_4_North_and_Central_America/USA_United_States_of_America/CO_Colorado/USA_CO_Alamosa-San.Luis.Valley.Rgnl.AP.724620_US.Normals.1991-2020.zip")</f>
        <v>https://climate.onebuilding.org/WMO_Region_4_North_and_Central_America/USA_United_States_of_America/CO_Colorado/USA_CO_Alamosa-San.Luis.Valley.Rgnl.AP.724620_US.Normals.1991-2020.zip</v>
      </c>
    </row>
    <row r="387" spans="1:10" x14ac:dyDescent="0.25">
      <c r="A387" t="s">
        <v>35</v>
      </c>
      <c r="B387" t="s">
        <v>266</v>
      </c>
      <c r="C387" t="s">
        <v>268</v>
      </c>
      <c r="D387" s="2">
        <v>724620</v>
      </c>
      <c r="E387" t="s">
        <v>13</v>
      </c>
      <c r="F387">
        <v>37.438899999999997</v>
      </c>
      <c r="G387">
        <v>-105.8614</v>
      </c>
      <c r="H387">
        <v>-7</v>
      </c>
      <c r="I387">
        <v>2296.1</v>
      </c>
      <c r="J387" t="str">
        <f>HYPERLINK("https://climate.onebuilding.org/WMO_Region_4_North_and_Central_America/USA_United_States_of_America/CO_Colorado/USA_CO_Alamosa-San.Luis.Valley.Rgnl.AP.724620_US.Normals.2006-2020.zip")</f>
        <v>https://climate.onebuilding.org/WMO_Region_4_North_and_Central_America/USA_United_States_of_America/CO_Colorado/USA_CO_Alamosa-San.Luis.Valley.Rgnl.AP.724620_US.Normals.2006-2020.zip</v>
      </c>
    </row>
    <row r="388" spans="1:10" x14ac:dyDescent="0.25">
      <c r="A388" t="s">
        <v>35</v>
      </c>
      <c r="B388" t="s">
        <v>266</v>
      </c>
      <c r="C388" t="s">
        <v>269</v>
      </c>
      <c r="D388" s="2">
        <v>724676</v>
      </c>
      <c r="E388" t="s">
        <v>13</v>
      </c>
      <c r="F388">
        <v>39.223100000000002</v>
      </c>
      <c r="G388">
        <v>-106.8683</v>
      </c>
      <c r="H388">
        <v>-7</v>
      </c>
      <c r="I388">
        <v>2353.1</v>
      </c>
      <c r="J388" t="str">
        <f>HYPERLINK("https://climate.onebuilding.org/WMO_Region_4_North_and_Central_America/USA_United_States_of_America/CO_Colorado/USA_CO_Aspen-Pitkin.County.AP-Sardy.Field.724676_US.Normals.2006-2020.zip")</f>
        <v>https://climate.onebuilding.org/WMO_Region_4_North_and_Central_America/USA_United_States_of_America/CO_Colorado/USA_CO_Aspen-Pitkin.County.AP-Sardy.Field.724676_US.Normals.2006-2020.zip</v>
      </c>
    </row>
    <row r="389" spans="1:10" x14ac:dyDescent="0.25">
      <c r="A389" t="s">
        <v>35</v>
      </c>
      <c r="B389" t="s">
        <v>266</v>
      </c>
      <c r="C389" t="s">
        <v>270</v>
      </c>
      <c r="D389" s="2">
        <v>724695</v>
      </c>
      <c r="E389" t="s">
        <v>13</v>
      </c>
      <c r="F389">
        <v>39.716700000000003</v>
      </c>
      <c r="G389">
        <v>-104.75</v>
      </c>
      <c r="H389">
        <v>-7</v>
      </c>
      <c r="I389">
        <v>1726.1</v>
      </c>
      <c r="J389" t="str">
        <f>HYPERLINK("https://climate.onebuilding.org/WMO_Region_4_North_and_Central_America/USA_United_States_of_America/CO_Colorado/USA_CO_Aurora-Buckley.AFB.724695_US.Normals.1981-2010.zip")</f>
        <v>https://climate.onebuilding.org/WMO_Region_4_North_and_Central_America/USA_United_States_of_America/CO_Colorado/USA_CO_Aurora-Buckley.AFB.724695_US.Normals.1981-2010.zip</v>
      </c>
    </row>
    <row r="390" spans="1:10" x14ac:dyDescent="0.25">
      <c r="A390" t="s">
        <v>35</v>
      </c>
      <c r="B390" t="s">
        <v>266</v>
      </c>
      <c r="C390" t="s">
        <v>270</v>
      </c>
      <c r="D390" s="2">
        <v>724695</v>
      </c>
      <c r="E390" t="s">
        <v>13</v>
      </c>
      <c r="F390">
        <v>39.716700000000003</v>
      </c>
      <c r="G390">
        <v>-104.75</v>
      </c>
      <c r="H390">
        <v>-7</v>
      </c>
      <c r="I390">
        <v>1726.1</v>
      </c>
      <c r="J390" t="str">
        <f>HYPERLINK("https://climate.onebuilding.org/WMO_Region_4_North_and_Central_America/USA_United_States_of_America/CO_Colorado/USA_CO_Aurora-Buckley.AFB.724695_US.Normals.1991-2020.zip")</f>
        <v>https://climate.onebuilding.org/WMO_Region_4_North_and_Central_America/USA_United_States_of_America/CO_Colorado/USA_CO_Aurora-Buckley.AFB.724695_US.Normals.1991-2020.zip</v>
      </c>
    </row>
    <row r="391" spans="1:10" x14ac:dyDescent="0.25">
      <c r="A391" t="s">
        <v>35</v>
      </c>
      <c r="B391" t="s">
        <v>266</v>
      </c>
      <c r="C391" t="s">
        <v>270</v>
      </c>
      <c r="D391" s="2">
        <v>724695</v>
      </c>
      <c r="E391" t="s">
        <v>13</v>
      </c>
      <c r="F391">
        <v>39.716700000000003</v>
      </c>
      <c r="G391">
        <v>-104.75</v>
      </c>
      <c r="H391">
        <v>-7</v>
      </c>
      <c r="I391">
        <v>1726.1</v>
      </c>
      <c r="J391" t="str">
        <f>HYPERLINK("https://climate.onebuilding.org/WMO_Region_4_North_and_Central_America/USA_United_States_of_America/CO_Colorado/USA_CO_Aurora-Buckley.AFB.724695_US.Normals.2006-2020.zip")</f>
        <v>https://climate.onebuilding.org/WMO_Region_4_North_and_Central_America/USA_United_States_of_America/CO_Colorado/USA_CO_Aurora-Buckley.AFB.724695_US.Normals.2006-2020.zip</v>
      </c>
    </row>
    <row r="392" spans="1:10" x14ac:dyDescent="0.25">
      <c r="A392" t="s">
        <v>35</v>
      </c>
      <c r="B392" t="s">
        <v>266</v>
      </c>
      <c r="C392" t="s">
        <v>271</v>
      </c>
      <c r="D392" s="2">
        <v>745220</v>
      </c>
      <c r="E392" t="s">
        <v>13</v>
      </c>
      <c r="F392">
        <v>38.543900000000001</v>
      </c>
      <c r="G392">
        <v>-107.69280000000001</v>
      </c>
      <c r="H392">
        <v>-7</v>
      </c>
      <c r="I392">
        <v>2560.9</v>
      </c>
      <c r="J392" t="str">
        <f>HYPERLINK("https://climate.onebuilding.org/WMO_Region_4_North_and_Central_America/USA_United_States_of_America/CO_Colorado/USA_CO_Black.Canyon.of.the.Gunnison.Natl.Park.745220_US.Normals.2006-2020.zip")</f>
        <v>https://climate.onebuilding.org/WMO_Region_4_North_and_Central_America/USA_United_States_of_America/CO_Colorado/USA_CO_Black.Canyon.of.the.Gunnison.Natl.Park.745220_US.Normals.2006-2020.zip</v>
      </c>
    </row>
    <row r="393" spans="1:10" x14ac:dyDescent="0.25">
      <c r="A393" t="s">
        <v>35</v>
      </c>
      <c r="B393" t="s">
        <v>266</v>
      </c>
      <c r="C393" t="s">
        <v>272</v>
      </c>
      <c r="D393" s="2">
        <v>724689</v>
      </c>
      <c r="E393" t="s">
        <v>13</v>
      </c>
      <c r="F393">
        <v>39.244700000000002</v>
      </c>
      <c r="G393">
        <v>-102.2842</v>
      </c>
      <c r="H393">
        <v>-7</v>
      </c>
      <c r="I393">
        <v>1277.7</v>
      </c>
      <c r="J393" t="str">
        <f>HYPERLINK("https://climate.onebuilding.org/WMO_Region_4_North_and_Central_America/USA_United_States_of_America/CO_Colorado/USA_CO_Burlington-Kit.Carson.County.AP.724689_US.Normals.2006-2020.zip")</f>
        <v>https://climate.onebuilding.org/WMO_Region_4_North_and_Central_America/USA_United_States_of_America/CO_Colorado/USA_CO_Burlington-Kit.Carson.County.AP.724689_US.Normals.2006-2020.zip</v>
      </c>
    </row>
    <row r="394" spans="1:10" x14ac:dyDescent="0.25">
      <c r="A394" t="s">
        <v>35</v>
      </c>
      <c r="B394" t="s">
        <v>266</v>
      </c>
      <c r="C394" t="s">
        <v>273</v>
      </c>
      <c r="D394" s="2">
        <v>724660</v>
      </c>
      <c r="E394" t="s">
        <v>13</v>
      </c>
      <c r="F394">
        <v>38.81</v>
      </c>
      <c r="G394">
        <v>-104.6883</v>
      </c>
      <c r="H394">
        <v>-7</v>
      </c>
      <c r="I394">
        <v>1884</v>
      </c>
      <c r="J394" t="str">
        <f>HYPERLINK("https://climate.onebuilding.org/WMO_Region_4_North_and_Central_America/USA_United_States_of_America/CO_Colorado/USA_CO_Colorado.Springs.AP-Peterson.Field.724660_US.Normals.1981-2010.zip")</f>
        <v>https://climate.onebuilding.org/WMO_Region_4_North_and_Central_America/USA_United_States_of_America/CO_Colorado/USA_CO_Colorado.Springs.AP-Peterson.Field.724660_US.Normals.1981-2010.zip</v>
      </c>
    </row>
    <row r="395" spans="1:10" x14ac:dyDescent="0.25">
      <c r="A395" t="s">
        <v>35</v>
      </c>
      <c r="B395" t="s">
        <v>266</v>
      </c>
      <c r="C395" t="s">
        <v>273</v>
      </c>
      <c r="D395" s="2">
        <v>724660</v>
      </c>
      <c r="E395" t="s">
        <v>13</v>
      </c>
      <c r="F395">
        <v>38.81</v>
      </c>
      <c r="G395">
        <v>-104.6883</v>
      </c>
      <c r="H395">
        <v>-7</v>
      </c>
      <c r="I395">
        <v>1884</v>
      </c>
      <c r="J395" t="str">
        <f>HYPERLINK("https://climate.onebuilding.org/WMO_Region_4_North_and_Central_America/USA_United_States_of_America/CO_Colorado/USA_CO_Colorado.Springs.AP-Peterson.Field.724660_US.Normals.1991-2020.zip")</f>
        <v>https://climate.onebuilding.org/WMO_Region_4_North_and_Central_America/USA_United_States_of_America/CO_Colorado/USA_CO_Colorado.Springs.AP-Peterson.Field.724660_US.Normals.1991-2020.zip</v>
      </c>
    </row>
    <row r="396" spans="1:10" x14ac:dyDescent="0.25">
      <c r="A396" t="s">
        <v>35</v>
      </c>
      <c r="B396" t="s">
        <v>266</v>
      </c>
      <c r="C396" t="s">
        <v>273</v>
      </c>
      <c r="D396" s="2">
        <v>724660</v>
      </c>
      <c r="E396" t="s">
        <v>13</v>
      </c>
      <c r="F396">
        <v>38.81</v>
      </c>
      <c r="G396">
        <v>-104.6883</v>
      </c>
      <c r="H396">
        <v>-7</v>
      </c>
      <c r="I396">
        <v>1884</v>
      </c>
      <c r="J396" t="str">
        <f>HYPERLINK("https://climate.onebuilding.org/WMO_Region_4_North_and_Central_America/USA_United_States_of_America/CO_Colorado/USA_CO_Colorado.Springs.AP-Peterson.Field.724660_US.Normals.2006-2020.zip")</f>
        <v>https://climate.onebuilding.org/WMO_Region_4_North_and_Central_America/USA_United_States_of_America/CO_Colorado/USA_CO_Colorado.Springs.AP-Peterson.Field.724660_US.Normals.2006-2020.zip</v>
      </c>
    </row>
    <row r="397" spans="1:10" x14ac:dyDescent="0.25">
      <c r="A397" t="s">
        <v>35</v>
      </c>
      <c r="B397" t="s">
        <v>266</v>
      </c>
      <c r="C397" t="s">
        <v>274</v>
      </c>
      <c r="D397" s="2">
        <v>745230</v>
      </c>
      <c r="E397" t="s">
        <v>13</v>
      </c>
      <c r="F397">
        <v>37.255299999999998</v>
      </c>
      <c r="G397">
        <v>-108.50360000000001</v>
      </c>
      <c r="H397">
        <v>-7</v>
      </c>
      <c r="I397">
        <v>2448.8000000000002</v>
      </c>
      <c r="J397" t="str">
        <f>HYPERLINK("https://climate.onebuilding.org/WMO_Region_4_North_and_Central_America/USA_United_States_of_America/CO_Colorado/USA_CO_Cortez-Mesa.Verde.Natl.Park.745230_US.Normals.2006-2020.zip")</f>
        <v>https://climate.onebuilding.org/WMO_Region_4_North_and_Central_America/USA_United_States_of_America/CO_Colorado/USA_CO_Cortez-Mesa.Verde.Natl.Park.745230_US.Normals.2006-2020.zip</v>
      </c>
    </row>
    <row r="398" spans="1:10" x14ac:dyDescent="0.25">
      <c r="A398" t="s">
        <v>35</v>
      </c>
      <c r="B398" t="s">
        <v>266</v>
      </c>
      <c r="C398" t="s">
        <v>275</v>
      </c>
      <c r="D398" s="2">
        <v>724767</v>
      </c>
      <c r="E398" t="s">
        <v>13</v>
      </c>
      <c r="F398">
        <v>37.303100000000001</v>
      </c>
      <c r="G398">
        <v>-108.6275</v>
      </c>
      <c r="H398">
        <v>-7</v>
      </c>
      <c r="I398">
        <v>1802.6</v>
      </c>
      <c r="J398" t="str">
        <f>HYPERLINK("https://climate.onebuilding.org/WMO_Region_4_North_and_Central_America/USA_United_States_of_America/CO_Colorado/USA_CO_Cortez.Muni.AP-Montezuma.County.AP.724767_US.Normals.2006-2020.zip")</f>
        <v>https://climate.onebuilding.org/WMO_Region_4_North_and_Central_America/USA_United_States_of_America/CO_Colorado/USA_CO_Cortez.Muni.AP-Montezuma.County.AP.724767_US.Normals.2006-2020.zip</v>
      </c>
    </row>
    <row r="399" spans="1:10" x14ac:dyDescent="0.25">
      <c r="A399" t="s">
        <v>35</v>
      </c>
      <c r="B399" t="s">
        <v>266</v>
      </c>
      <c r="C399" t="s">
        <v>276</v>
      </c>
      <c r="D399" s="2">
        <v>725700</v>
      </c>
      <c r="E399" t="s">
        <v>13</v>
      </c>
      <c r="F399">
        <v>40.4953</v>
      </c>
      <c r="G399">
        <v>-107.5211</v>
      </c>
      <c r="H399">
        <v>-7</v>
      </c>
      <c r="I399">
        <v>1885.5</v>
      </c>
      <c r="J399" t="str">
        <f>HYPERLINK("https://climate.onebuilding.org/WMO_Region_4_North_and_Central_America/USA_United_States_of_America/CO_Colorado/USA_CO_Craig-Moffat.AP.725700_US.Normals.1991-2020.zip")</f>
        <v>https://climate.onebuilding.org/WMO_Region_4_North_and_Central_America/USA_United_States_of_America/CO_Colorado/USA_CO_Craig-Moffat.AP.725700_US.Normals.1991-2020.zip</v>
      </c>
    </row>
    <row r="400" spans="1:10" x14ac:dyDescent="0.25">
      <c r="A400" t="s">
        <v>35</v>
      </c>
      <c r="B400" t="s">
        <v>266</v>
      </c>
      <c r="C400" t="s">
        <v>276</v>
      </c>
      <c r="D400" s="2">
        <v>725700</v>
      </c>
      <c r="E400" t="s">
        <v>13</v>
      </c>
      <c r="F400">
        <v>40.4953</v>
      </c>
      <c r="G400">
        <v>-107.5211</v>
      </c>
      <c r="H400">
        <v>-7</v>
      </c>
      <c r="I400">
        <v>1885.5</v>
      </c>
      <c r="J400" t="str">
        <f>HYPERLINK("https://climate.onebuilding.org/WMO_Region_4_North_and_Central_America/USA_United_States_of_America/CO_Colorado/USA_CO_Craig-Moffat.AP.725700_US.Normals.2006-2020.zip")</f>
        <v>https://climate.onebuilding.org/WMO_Region_4_North_and_Central_America/USA_United_States_of_America/CO_Colorado/USA_CO_Craig-Moffat.AP.725700_US.Normals.2006-2020.zip</v>
      </c>
    </row>
    <row r="401" spans="1:10" x14ac:dyDescent="0.25">
      <c r="A401" t="s">
        <v>35</v>
      </c>
      <c r="B401" t="s">
        <v>266</v>
      </c>
      <c r="C401" t="s">
        <v>277</v>
      </c>
      <c r="D401" s="2">
        <v>724666</v>
      </c>
      <c r="E401" t="s">
        <v>13</v>
      </c>
      <c r="F401">
        <v>39.570300000000003</v>
      </c>
      <c r="G401">
        <v>-104.8489</v>
      </c>
      <c r="H401">
        <v>-7</v>
      </c>
      <c r="I401">
        <v>1793.1</v>
      </c>
      <c r="J401" t="str">
        <f>HYPERLINK("https://climate.onebuilding.org/WMO_Region_4_North_and_Central_America/USA_United_States_of_America/CO_Colorado/USA_CO_Denver-Centennial.AP.724666_US.Normals.1991-2020.zip")</f>
        <v>https://climate.onebuilding.org/WMO_Region_4_North_and_Central_America/USA_United_States_of_America/CO_Colorado/USA_CO_Denver-Centennial.AP.724666_US.Normals.1991-2020.zip</v>
      </c>
    </row>
    <row r="402" spans="1:10" x14ac:dyDescent="0.25">
      <c r="A402" t="s">
        <v>35</v>
      </c>
      <c r="B402" t="s">
        <v>266</v>
      </c>
      <c r="C402" t="s">
        <v>277</v>
      </c>
      <c r="D402" s="2">
        <v>724666</v>
      </c>
      <c r="E402" t="s">
        <v>13</v>
      </c>
      <c r="F402">
        <v>39.570300000000003</v>
      </c>
      <c r="G402">
        <v>-104.8489</v>
      </c>
      <c r="H402">
        <v>-7</v>
      </c>
      <c r="I402">
        <v>1793.1</v>
      </c>
      <c r="J402" t="str">
        <f>HYPERLINK("https://climate.onebuilding.org/WMO_Region_4_North_and_Central_America/USA_United_States_of_America/CO_Colorado/USA_CO_Denver-Centennial.AP.724666_US.Normals.2006-2020.zip")</f>
        <v>https://climate.onebuilding.org/WMO_Region_4_North_and_Central_America/USA_United_States_of_America/CO_Colorado/USA_CO_Denver-Centennial.AP.724666_US.Normals.2006-2020.zip</v>
      </c>
    </row>
    <row r="403" spans="1:10" x14ac:dyDescent="0.25">
      <c r="A403" t="s">
        <v>35</v>
      </c>
      <c r="B403" t="s">
        <v>266</v>
      </c>
      <c r="C403" t="s">
        <v>278</v>
      </c>
      <c r="D403" s="2">
        <v>725650</v>
      </c>
      <c r="E403" t="s">
        <v>13</v>
      </c>
      <c r="F403">
        <v>39.832799999999999</v>
      </c>
      <c r="G403">
        <v>-104.6575</v>
      </c>
      <c r="H403">
        <v>-7</v>
      </c>
      <c r="I403">
        <v>1650.2</v>
      </c>
      <c r="J403" t="str">
        <f>HYPERLINK("https://climate.onebuilding.org/WMO_Region_4_North_and_Central_America/USA_United_States_of_America/CO_Colorado/USA_CO_Denver.Intl.AP.725650_US.Normals.1991-2020.zip")</f>
        <v>https://climate.onebuilding.org/WMO_Region_4_North_and_Central_America/USA_United_States_of_America/CO_Colorado/USA_CO_Denver.Intl.AP.725650_US.Normals.1991-2020.zip</v>
      </c>
    </row>
    <row r="404" spans="1:10" x14ac:dyDescent="0.25">
      <c r="A404" t="s">
        <v>35</v>
      </c>
      <c r="B404" t="s">
        <v>266</v>
      </c>
      <c r="C404" t="s">
        <v>278</v>
      </c>
      <c r="D404" s="2">
        <v>725650</v>
      </c>
      <c r="E404" t="s">
        <v>13</v>
      </c>
      <c r="F404">
        <v>39.832799999999999</v>
      </c>
      <c r="G404">
        <v>-104.6575</v>
      </c>
      <c r="H404">
        <v>-7</v>
      </c>
      <c r="I404">
        <v>1650.2</v>
      </c>
      <c r="J404" t="str">
        <f>HYPERLINK("https://climate.onebuilding.org/WMO_Region_4_North_and_Central_America/USA_United_States_of_America/CO_Colorado/USA_CO_Denver.Intl.AP.725650_US.Normals.2006-2020.zip")</f>
        <v>https://climate.onebuilding.org/WMO_Region_4_North_and_Central_America/USA_United_States_of_America/CO_Colorado/USA_CO_Denver.Intl.AP.725650_US.Normals.2006-2020.zip</v>
      </c>
    </row>
    <row r="405" spans="1:10" x14ac:dyDescent="0.25">
      <c r="A405" t="s">
        <v>35</v>
      </c>
      <c r="B405" t="s">
        <v>266</v>
      </c>
      <c r="C405" t="s">
        <v>279</v>
      </c>
      <c r="D405" s="2">
        <v>745190</v>
      </c>
      <c r="E405" t="s">
        <v>13</v>
      </c>
      <c r="F405">
        <v>40.244700000000002</v>
      </c>
      <c r="G405">
        <v>-108.9678</v>
      </c>
      <c r="H405">
        <v>-7</v>
      </c>
      <c r="I405">
        <v>1847.7</v>
      </c>
      <c r="J405" t="str">
        <f>HYPERLINK("https://climate.onebuilding.org/WMO_Region_4_North_and_Central_America/USA_United_States_of_America/CO_Colorado/USA_CO_Dinosaur.Natl.Monument.745190_US.Normals.2006-2020.zip")</f>
        <v>https://climate.onebuilding.org/WMO_Region_4_North_and_Central_America/USA_United_States_of_America/CO_Colorado/USA_CO_Dinosaur.Natl.Monument.745190_US.Normals.2006-2020.zip</v>
      </c>
    </row>
    <row r="406" spans="1:10" x14ac:dyDescent="0.25">
      <c r="A406" t="s">
        <v>35</v>
      </c>
      <c r="B406" t="s">
        <v>266</v>
      </c>
      <c r="C406" t="s">
        <v>280</v>
      </c>
      <c r="D406" s="2">
        <v>724625</v>
      </c>
      <c r="E406" t="s">
        <v>13</v>
      </c>
      <c r="F406">
        <v>37.143099999999997</v>
      </c>
      <c r="G406">
        <v>-107.7597</v>
      </c>
      <c r="H406">
        <v>-7</v>
      </c>
      <c r="I406">
        <v>2030</v>
      </c>
      <c r="J406" t="str">
        <f>HYPERLINK("https://climate.onebuilding.org/WMO_Region_4_North_and_Central_America/USA_United_States_of_America/CO_Colorado/USA_CO_Durango-La.Plata.County.AP.724625_US.Normals.2006-2020.zip")</f>
        <v>https://climate.onebuilding.org/WMO_Region_4_North_and_Central_America/USA_United_States_of_America/CO_Colorado/USA_CO_Durango-La.Plata.County.AP.724625_US.Normals.2006-2020.zip</v>
      </c>
    </row>
    <row r="407" spans="1:10" x14ac:dyDescent="0.25">
      <c r="A407" t="s">
        <v>35</v>
      </c>
      <c r="B407" t="s">
        <v>266</v>
      </c>
      <c r="C407" t="s">
        <v>281</v>
      </c>
      <c r="D407" s="2">
        <v>724675</v>
      </c>
      <c r="E407" t="s">
        <v>13</v>
      </c>
      <c r="F407">
        <v>39.65</v>
      </c>
      <c r="G407">
        <v>-106.91670000000001</v>
      </c>
      <c r="H407">
        <v>-7</v>
      </c>
      <c r="I407">
        <v>1980.3</v>
      </c>
      <c r="J407" t="str">
        <f>HYPERLINK("https://climate.onebuilding.org/WMO_Region_4_North_and_Central_America/USA_United_States_of_America/CO_Colorado/USA_CO_Eagle.County.Rgnl.AP.724675_US.Normals.2006-2020.zip")</f>
        <v>https://climate.onebuilding.org/WMO_Region_4_North_and_Central_America/USA_United_States_of_America/CO_Colorado/USA_CO_Eagle.County.Rgnl.AP.724675_US.Normals.2006-2020.zip</v>
      </c>
    </row>
    <row r="408" spans="1:10" x14ac:dyDescent="0.25">
      <c r="A408" t="s">
        <v>35</v>
      </c>
      <c r="B408" t="s">
        <v>266</v>
      </c>
      <c r="C408" t="s">
        <v>282</v>
      </c>
      <c r="D408" s="2">
        <v>724680</v>
      </c>
      <c r="E408" t="s">
        <v>13</v>
      </c>
      <c r="F408">
        <v>38.680300000000003</v>
      </c>
      <c r="G408">
        <v>-104.76390000000001</v>
      </c>
      <c r="H408">
        <v>-7</v>
      </c>
      <c r="I408">
        <v>1780.6</v>
      </c>
      <c r="J408" t="str">
        <f>HYPERLINK("https://climate.onebuilding.org/WMO_Region_4_North_and_Central_America/USA_United_States_of_America/CO_Colorado/USA_CO_Fort.Carson-Butts.AAF.AP.724680_US.Normals.2006-2020.zip")</f>
        <v>https://climate.onebuilding.org/WMO_Region_4_North_and_Central_America/USA_United_States_of_America/CO_Colorado/USA_CO_Fort.Carson-Butts.AAF.AP.724680_US.Normals.2006-2020.zip</v>
      </c>
    </row>
    <row r="409" spans="1:10" x14ac:dyDescent="0.25">
      <c r="A409" t="s">
        <v>35</v>
      </c>
      <c r="B409" t="s">
        <v>266</v>
      </c>
      <c r="C409" t="s">
        <v>283</v>
      </c>
      <c r="D409" s="2">
        <v>724760</v>
      </c>
      <c r="E409" t="s">
        <v>13</v>
      </c>
      <c r="F409">
        <v>39.1342</v>
      </c>
      <c r="G409">
        <v>-108.54</v>
      </c>
      <c r="H409">
        <v>-7</v>
      </c>
      <c r="I409">
        <v>1480.7</v>
      </c>
      <c r="J409" t="str">
        <f>HYPERLINK("https://climate.onebuilding.org/WMO_Region_4_North_and_Central_America/USA_United_States_of_America/CO_Colorado/USA_CO_Grand.Junction.Rgnl.AP-Walker.Field.724760_US.Normals.1981-2010.zip")</f>
        <v>https://climate.onebuilding.org/WMO_Region_4_North_and_Central_America/USA_United_States_of_America/CO_Colorado/USA_CO_Grand.Junction.Rgnl.AP-Walker.Field.724760_US.Normals.1981-2010.zip</v>
      </c>
    </row>
    <row r="410" spans="1:10" x14ac:dyDescent="0.25">
      <c r="A410" t="s">
        <v>35</v>
      </c>
      <c r="B410" t="s">
        <v>266</v>
      </c>
      <c r="C410" t="s">
        <v>283</v>
      </c>
      <c r="D410" s="2">
        <v>724760</v>
      </c>
      <c r="E410" t="s">
        <v>13</v>
      </c>
      <c r="F410">
        <v>39.1342</v>
      </c>
      <c r="G410">
        <v>-108.54</v>
      </c>
      <c r="H410">
        <v>-7</v>
      </c>
      <c r="I410">
        <v>1480.7</v>
      </c>
      <c r="J410" t="str">
        <f>HYPERLINK("https://climate.onebuilding.org/WMO_Region_4_North_and_Central_America/USA_United_States_of_America/CO_Colorado/USA_CO_Grand.Junction.Rgnl.AP-Walker.Field.724760_US.Normals.1991-2020.zip")</f>
        <v>https://climate.onebuilding.org/WMO_Region_4_North_and_Central_America/USA_United_States_of_America/CO_Colorado/USA_CO_Grand.Junction.Rgnl.AP-Walker.Field.724760_US.Normals.1991-2020.zip</v>
      </c>
    </row>
    <row r="411" spans="1:10" x14ac:dyDescent="0.25">
      <c r="A411" t="s">
        <v>35</v>
      </c>
      <c r="B411" t="s">
        <v>266</v>
      </c>
      <c r="C411" t="s">
        <v>283</v>
      </c>
      <c r="D411" s="2">
        <v>724760</v>
      </c>
      <c r="E411" t="s">
        <v>13</v>
      </c>
      <c r="F411">
        <v>39.1342</v>
      </c>
      <c r="G411">
        <v>-108.54</v>
      </c>
      <c r="H411">
        <v>-7</v>
      </c>
      <c r="I411">
        <v>1480.7</v>
      </c>
      <c r="J411" t="str">
        <f>HYPERLINK("https://climate.onebuilding.org/WMO_Region_4_North_and_Central_America/USA_United_States_of_America/CO_Colorado/USA_CO_Grand.Junction.Rgnl.AP-Walker.Field.724760_US.Normals.2006-2020.zip")</f>
        <v>https://climate.onebuilding.org/WMO_Region_4_North_and_Central_America/USA_United_States_of_America/CO_Colorado/USA_CO_Grand.Junction.Rgnl.AP-Walker.Field.724760_US.Normals.2006-2020.zip</v>
      </c>
    </row>
    <row r="412" spans="1:10" x14ac:dyDescent="0.25">
      <c r="A412" t="s">
        <v>35</v>
      </c>
      <c r="B412" t="s">
        <v>266</v>
      </c>
      <c r="C412" t="s">
        <v>284</v>
      </c>
      <c r="D412" s="2">
        <v>745290</v>
      </c>
      <c r="E412" t="s">
        <v>13</v>
      </c>
      <c r="F412">
        <v>37.863900000000001</v>
      </c>
      <c r="G412">
        <v>-103.82250000000001</v>
      </c>
      <c r="H412">
        <v>-7</v>
      </c>
      <c r="I412">
        <v>1336.9</v>
      </c>
      <c r="J412" t="str">
        <f>HYPERLINK("https://climate.onebuilding.org/WMO_Region_4_North_and_Central_America/USA_United_States_of_America/CO_Colorado/USA_CO_La.Junta-USDA.Comanche.Natl.Grassland.745290_US.Normals.2006-2020.zip")</f>
        <v>https://climate.onebuilding.org/WMO_Region_4_North_and_Central_America/USA_United_States_of_America/CO_Colorado/USA_CO_La.Junta-USDA.Comanche.Natl.Grassland.745290_US.Normals.2006-2020.zip</v>
      </c>
    </row>
    <row r="413" spans="1:10" x14ac:dyDescent="0.25">
      <c r="A413" t="s">
        <v>35</v>
      </c>
      <c r="B413" t="s">
        <v>266</v>
      </c>
      <c r="C413" t="s">
        <v>285</v>
      </c>
      <c r="D413" s="2">
        <v>724635</v>
      </c>
      <c r="E413" t="s">
        <v>13</v>
      </c>
      <c r="F413">
        <v>38.049399999999999</v>
      </c>
      <c r="G413">
        <v>-103.51220000000001</v>
      </c>
      <c r="H413">
        <v>-7</v>
      </c>
      <c r="I413">
        <v>1278.3</v>
      </c>
      <c r="J413" t="str">
        <f>HYPERLINK("https://climate.onebuilding.org/WMO_Region_4_North_and_Central_America/USA_United_States_of_America/CO_Colorado/USA_CO_La.Junta.Muni.AP.724635_US.Normals.1991-2020.zip")</f>
        <v>https://climate.onebuilding.org/WMO_Region_4_North_and_Central_America/USA_United_States_of_America/CO_Colorado/USA_CO_La.Junta.Muni.AP.724635_US.Normals.1991-2020.zip</v>
      </c>
    </row>
    <row r="414" spans="1:10" x14ac:dyDescent="0.25">
      <c r="A414" t="s">
        <v>35</v>
      </c>
      <c r="B414" t="s">
        <v>266</v>
      </c>
      <c r="C414" t="s">
        <v>285</v>
      </c>
      <c r="D414" s="2">
        <v>724635</v>
      </c>
      <c r="E414" t="s">
        <v>13</v>
      </c>
      <c r="F414">
        <v>38.049399999999999</v>
      </c>
      <c r="G414">
        <v>-103.51220000000001</v>
      </c>
      <c r="H414">
        <v>-7</v>
      </c>
      <c r="I414">
        <v>1278.3</v>
      </c>
      <c r="J414" t="str">
        <f>HYPERLINK("https://climate.onebuilding.org/WMO_Region_4_North_and_Central_America/USA_United_States_of_America/CO_Colorado/USA_CO_La.Junta.Muni.AP.724635_US.Normals.2006-2020.zip")</f>
        <v>https://climate.onebuilding.org/WMO_Region_4_North_and_Central_America/USA_United_States_of_America/CO_Colorado/USA_CO_La.Junta.Muni.AP.724635_US.Normals.2006-2020.zip</v>
      </c>
    </row>
    <row r="415" spans="1:10" x14ac:dyDescent="0.25">
      <c r="A415" t="s">
        <v>35</v>
      </c>
      <c r="B415" t="s">
        <v>266</v>
      </c>
      <c r="C415" t="s">
        <v>286</v>
      </c>
      <c r="D415" s="2">
        <v>724636</v>
      </c>
      <c r="E415" t="s">
        <v>13</v>
      </c>
      <c r="F415">
        <v>38.07</v>
      </c>
      <c r="G415">
        <v>-102.68810000000001</v>
      </c>
      <c r="H415">
        <v>-7</v>
      </c>
      <c r="I415">
        <v>1129</v>
      </c>
      <c r="J415" t="str">
        <f>HYPERLINK("https://climate.onebuilding.org/WMO_Region_4_North_and_Central_America/USA_United_States_of_America/CO_Colorado/USA_CO_Lamar.Muni.AP.724636_US.Normals.2006-2020.zip")</f>
        <v>https://climate.onebuilding.org/WMO_Region_4_North_and_Central_America/USA_United_States_of_America/CO_Colorado/USA_CO_Lamar.Muni.AP.724636_US.Normals.2006-2020.zip</v>
      </c>
    </row>
    <row r="416" spans="1:10" x14ac:dyDescent="0.25">
      <c r="A416" t="s">
        <v>35</v>
      </c>
      <c r="B416" t="s">
        <v>266</v>
      </c>
      <c r="C416" t="s">
        <v>287</v>
      </c>
      <c r="D416" s="2">
        <v>724673</v>
      </c>
      <c r="E416" t="s">
        <v>13</v>
      </c>
      <c r="F416">
        <v>39.229199999999999</v>
      </c>
      <c r="G416">
        <v>-106.3169</v>
      </c>
      <c r="H416">
        <v>-7</v>
      </c>
      <c r="I416">
        <v>3027.3</v>
      </c>
      <c r="J416" t="str">
        <f>HYPERLINK("https://climate.onebuilding.org/WMO_Region_4_North_and_Central_America/USA_United_States_of_America/CO_Colorado/USA_CO_Leadville-Lake.County.AP.724673_US.Normals.2006-2020.zip")</f>
        <v>https://climate.onebuilding.org/WMO_Region_4_North_and_Central_America/USA_United_States_of_America/CO_Colorado/USA_CO_Leadville-Lake.County.AP.724673_US.Normals.2006-2020.zip</v>
      </c>
    </row>
    <row r="417" spans="1:10" x14ac:dyDescent="0.25">
      <c r="A417" t="s">
        <v>35</v>
      </c>
      <c r="B417" t="s">
        <v>266</v>
      </c>
      <c r="C417" t="s">
        <v>288</v>
      </c>
      <c r="D417" s="2">
        <v>724665</v>
      </c>
      <c r="E417" t="s">
        <v>13</v>
      </c>
      <c r="F417">
        <v>39.189399999999999</v>
      </c>
      <c r="G417">
        <v>-103.7158</v>
      </c>
      <c r="H417">
        <v>-7</v>
      </c>
      <c r="I417">
        <v>1700</v>
      </c>
      <c r="J417" t="str">
        <f>HYPERLINK("https://climate.onebuilding.org/WMO_Region_4_North_and_Central_America/USA_United_States_of_America/CO_Colorado/USA_CO_Limon.Muni.AP.724665_US.Normals.1991-2020.zip")</f>
        <v>https://climate.onebuilding.org/WMO_Region_4_North_and_Central_America/USA_United_States_of_America/CO_Colorado/USA_CO_Limon.Muni.AP.724665_US.Normals.1991-2020.zip</v>
      </c>
    </row>
    <row r="418" spans="1:10" x14ac:dyDescent="0.25">
      <c r="A418" t="s">
        <v>35</v>
      </c>
      <c r="B418" t="s">
        <v>266</v>
      </c>
      <c r="C418" t="s">
        <v>288</v>
      </c>
      <c r="D418" s="2">
        <v>724665</v>
      </c>
      <c r="E418" t="s">
        <v>13</v>
      </c>
      <c r="F418">
        <v>39.189399999999999</v>
      </c>
      <c r="G418">
        <v>-103.7158</v>
      </c>
      <c r="H418">
        <v>-7</v>
      </c>
      <c r="I418">
        <v>1700</v>
      </c>
      <c r="J418" t="str">
        <f>HYPERLINK("https://climate.onebuilding.org/WMO_Region_4_North_and_Central_America/USA_United_States_of_America/CO_Colorado/USA_CO_Limon.Muni.AP.724665_US.Normals.2006-2020.zip")</f>
        <v>https://climate.onebuilding.org/WMO_Region_4_North_and_Central_America/USA_United_States_of_America/CO_Colorado/USA_CO_Limon.Muni.AP.724665_US.Normals.2006-2020.zip</v>
      </c>
    </row>
    <row r="419" spans="1:10" x14ac:dyDescent="0.25">
      <c r="A419" t="s">
        <v>35</v>
      </c>
      <c r="B419" t="s">
        <v>266</v>
      </c>
      <c r="C419" t="s">
        <v>289</v>
      </c>
      <c r="D419" s="2">
        <v>724674</v>
      </c>
      <c r="E419" t="s">
        <v>13</v>
      </c>
      <c r="F419">
        <v>40.048900000000003</v>
      </c>
      <c r="G419">
        <v>-107.8853</v>
      </c>
      <c r="H419">
        <v>-7</v>
      </c>
      <c r="I419">
        <v>1947.7</v>
      </c>
      <c r="J419" t="str">
        <f>HYPERLINK("https://climate.onebuilding.org/WMO_Region_4_North_and_Central_America/USA_United_States_of_America/CO_Colorado/USA_CO_Meeker.AP.724674_US.Normals.2006-2020.zip")</f>
        <v>https://climate.onebuilding.org/WMO_Region_4_North_and_Central_America/USA_United_States_of_America/CO_Colorado/USA_CO_Meeker.AP.724674_US.Normals.2006-2020.zip</v>
      </c>
    </row>
    <row r="420" spans="1:10" x14ac:dyDescent="0.25">
      <c r="A420" t="s">
        <v>35</v>
      </c>
      <c r="B420" t="s">
        <v>266</v>
      </c>
      <c r="C420" t="s">
        <v>290</v>
      </c>
      <c r="D420" s="2">
        <v>724765</v>
      </c>
      <c r="E420" t="s">
        <v>13</v>
      </c>
      <c r="F420">
        <v>38.505000000000003</v>
      </c>
      <c r="G420">
        <v>-107.89749999999999</v>
      </c>
      <c r="H420">
        <v>-7</v>
      </c>
      <c r="I420">
        <v>1755.3</v>
      </c>
      <c r="J420" t="str">
        <f>HYPERLINK("https://climate.onebuilding.org/WMO_Region_4_North_and_Central_America/USA_United_States_of_America/CO_Colorado/USA_CO_Montrose.Rgnl.AP.724765_US.Normals.1991-2020.zip")</f>
        <v>https://climate.onebuilding.org/WMO_Region_4_North_and_Central_America/USA_United_States_of_America/CO_Colorado/USA_CO_Montrose.Rgnl.AP.724765_US.Normals.1991-2020.zip</v>
      </c>
    </row>
    <row r="421" spans="1:10" x14ac:dyDescent="0.25">
      <c r="A421" t="s">
        <v>35</v>
      </c>
      <c r="B421" t="s">
        <v>266</v>
      </c>
      <c r="C421" t="s">
        <v>290</v>
      </c>
      <c r="D421" s="2">
        <v>724765</v>
      </c>
      <c r="E421" t="s">
        <v>13</v>
      </c>
      <c r="F421">
        <v>38.505000000000003</v>
      </c>
      <c r="G421">
        <v>-107.89749999999999</v>
      </c>
      <c r="H421">
        <v>-7</v>
      </c>
      <c r="I421">
        <v>1755.3</v>
      </c>
      <c r="J421" t="str">
        <f>HYPERLINK("https://climate.onebuilding.org/WMO_Region_4_North_and_Central_America/USA_United_States_of_America/CO_Colorado/USA_CO_Montrose.Rgnl.AP.724765_US.Normals.2006-2020.zip")</f>
        <v>https://climate.onebuilding.org/WMO_Region_4_North_and_Central_America/USA_United_States_of_America/CO_Colorado/USA_CO_Montrose.Rgnl.AP.724765_US.Normals.2006-2020.zip</v>
      </c>
    </row>
    <row r="422" spans="1:10" x14ac:dyDescent="0.25">
      <c r="A422" t="s">
        <v>35</v>
      </c>
      <c r="B422" t="s">
        <v>266</v>
      </c>
      <c r="C422" t="s">
        <v>291</v>
      </c>
      <c r="D422" s="2">
        <v>745200</v>
      </c>
      <c r="E422" t="s">
        <v>13</v>
      </c>
      <c r="F422">
        <v>40.035299999999999</v>
      </c>
      <c r="G422">
        <v>-105.5408</v>
      </c>
      <c r="H422">
        <v>-7</v>
      </c>
      <c r="I422">
        <v>2995.6</v>
      </c>
      <c r="J422" t="str">
        <f>HYPERLINK("https://climate.onebuilding.org/WMO_Region_4_North_and_Central_America/USA_United_States_of_America/CO_Colorado/USA_CO_Nederland-Univ.Colorado.Boulder.Mountain.Research.Stn.745200_US.Normals.2006-2020.zip")</f>
        <v>https://climate.onebuilding.org/WMO_Region_4_North_and_Central_America/USA_United_States_of_America/CO_Colorado/USA_CO_Nederland-Univ.Colorado.Boulder.Mountain.Research.Stn.745200_US.Normals.2006-2020.zip</v>
      </c>
    </row>
    <row r="423" spans="1:10" x14ac:dyDescent="0.25">
      <c r="A423" t="s">
        <v>35</v>
      </c>
      <c r="B423" t="s">
        <v>266</v>
      </c>
      <c r="C423" t="s">
        <v>292</v>
      </c>
      <c r="D423" s="2">
        <v>745340</v>
      </c>
      <c r="E423" t="s">
        <v>13</v>
      </c>
      <c r="F423">
        <v>40.806699999999999</v>
      </c>
      <c r="G423">
        <v>-104.75530000000001</v>
      </c>
      <c r="H423">
        <v>-7</v>
      </c>
      <c r="I423">
        <v>1642.9</v>
      </c>
      <c r="J423" t="str">
        <f>HYPERLINK("https://climate.onebuilding.org/WMO_Region_4_North_and_Central_America/USA_United_States_of_America/CO_Colorado/USA_CO_Nunn-NSF.Long.Term.Ecological.Research.Site.745340_US.Normals.2006-2020.zip")</f>
        <v>https://climate.onebuilding.org/WMO_Region_4_North_and_Central_America/USA_United_States_of_America/CO_Colorado/USA_CO_Nunn-NSF.Long.Term.Ecological.Research.Site.745340_US.Normals.2006-2020.zip</v>
      </c>
    </row>
    <row r="424" spans="1:10" x14ac:dyDescent="0.25">
      <c r="A424" t="s">
        <v>35</v>
      </c>
      <c r="B424" t="s">
        <v>266</v>
      </c>
      <c r="C424" t="s">
        <v>293</v>
      </c>
      <c r="D424" s="2">
        <v>724640</v>
      </c>
      <c r="E424" t="s">
        <v>13</v>
      </c>
      <c r="F424">
        <v>38.29</v>
      </c>
      <c r="G424">
        <v>-104.4983</v>
      </c>
      <c r="H424">
        <v>-7</v>
      </c>
      <c r="I424">
        <v>1438.7</v>
      </c>
      <c r="J424" t="str">
        <f>HYPERLINK("https://climate.onebuilding.org/WMO_Region_4_North_and_Central_America/USA_United_States_of_America/CO_Colorado/USA_CO_Pueblo.Meml.AP.724640_US.Normals.1991-2020.zip")</f>
        <v>https://climate.onebuilding.org/WMO_Region_4_North_and_Central_America/USA_United_States_of_America/CO_Colorado/USA_CO_Pueblo.Meml.AP.724640_US.Normals.1991-2020.zip</v>
      </c>
    </row>
    <row r="425" spans="1:10" x14ac:dyDescent="0.25">
      <c r="A425" t="s">
        <v>35</v>
      </c>
      <c r="B425" t="s">
        <v>266</v>
      </c>
      <c r="C425" t="s">
        <v>293</v>
      </c>
      <c r="D425" s="2">
        <v>724640</v>
      </c>
      <c r="E425" t="s">
        <v>13</v>
      </c>
      <c r="F425">
        <v>38.29</v>
      </c>
      <c r="G425">
        <v>-104.4983</v>
      </c>
      <c r="H425">
        <v>-7</v>
      </c>
      <c r="I425">
        <v>1438.7</v>
      </c>
      <c r="J425" t="str">
        <f>HYPERLINK("https://climate.onebuilding.org/WMO_Region_4_North_and_Central_America/USA_United_States_of_America/CO_Colorado/USA_CO_Pueblo.Meml.AP.724640_US.Normals.2006-2020.zip")</f>
        <v>https://climate.onebuilding.org/WMO_Region_4_North_and_Central_America/USA_United_States_of_America/CO_Colorado/USA_CO_Pueblo.Meml.AP.724640_US.Normals.2006-2020.zip</v>
      </c>
    </row>
    <row r="426" spans="1:10" x14ac:dyDescent="0.25">
      <c r="A426" t="s">
        <v>35</v>
      </c>
      <c r="B426" t="s">
        <v>266</v>
      </c>
      <c r="C426" t="s">
        <v>294</v>
      </c>
      <c r="D426" s="2">
        <v>725717</v>
      </c>
      <c r="E426" t="s">
        <v>13</v>
      </c>
      <c r="F426">
        <v>39.526400000000002</v>
      </c>
      <c r="G426">
        <v>-107.7264</v>
      </c>
      <c r="H426">
        <v>-7</v>
      </c>
      <c r="I426">
        <v>1685.5</v>
      </c>
      <c r="J426" t="str">
        <f>HYPERLINK("https://climate.onebuilding.org/WMO_Region_4_North_and_Central_America/USA_United_States_of_America/CO_Colorado/USA_CO_Rifle-Garfield.County.Rgnl.AP.725717_US.Normals.2006-2020.zip")</f>
        <v>https://climate.onebuilding.org/WMO_Region_4_North_and_Central_America/USA_United_States_of_America/CO_Colorado/USA_CO_Rifle-Garfield.County.Rgnl.AP.725717_US.Normals.2006-2020.zip</v>
      </c>
    </row>
    <row r="427" spans="1:10" x14ac:dyDescent="0.25">
      <c r="A427" t="s">
        <v>35</v>
      </c>
      <c r="B427" t="s">
        <v>266</v>
      </c>
      <c r="C427" t="s">
        <v>295</v>
      </c>
      <c r="D427" s="2">
        <v>724646</v>
      </c>
      <c r="E427" t="s">
        <v>13</v>
      </c>
      <c r="F427">
        <v>37.283299999999997</v>
      </c>
      <c r="G427">
        <v>-102.6139</v>
      </c>
      <c r="H427">
        <v>-7</v>
      </c>
      <c r="I427">
        <v>1335.9</v>
      </c>
      <c r="J427" t="str">
        <f>HYPERLINK("https://climate.onebuilding.org/WMO_Region_4_North_and_Central_America/USA_United_States_of_America/CO_Colorado/USA_CO_Springfield-Comanche.Natl.Grassland.724646_US.Normals.2006-2020.zip")</f>
        <v>https://climate.onebuilding.org/WMO_Region_4_North_and_Central_America/USA_United_States_of_America/CO_Colorado/USA_CO_Springfield-Comanche.Natl.Grassland.724646_US.Normals.2006-2020.zip</v>
      </c>
    </row>
    <row r="428" spans="1:10" x14ac:dyDescent="0.25">
      <c r="A428" t="s">
        <v>35</v>
      </c>
      <c r="B428" t="s">
        <v>266</v>
      </c>
      <c r="C428" t="s">
        <v>296</v>
      </c>
      <c r="D428" s="2">
        <v>724645</v>
      </c>
      <c r="E428" t="s">
        <v>13</v>
      </c>
      <c r="F428">
        <v>37.2622</v>
      </c>
      <c r="G428">
        <v>-104.3378</v>
      </c>
      <c r="H428">
        <v>-7</v>
      </c>
      <c r="I428">
        <v>1749.9</v>
      </c>
      <c r="J428" t="str">
        <f>HYPERLINK("https://climate.onebuilding.org/WMO_Region_4_North_and_Central_America/USA_United_States_of_America/CO_Colorado/USA_CO_Trinidad-Stokes.AP.724645_US.Normals.1991-2020.zip")</f>
        <v>https://climate.onebuilding.org/WMO_Region_4_North_and_Central_America/USA_United_States_of_America/CO_Colorado/USA_CO_Trinidad-Stokes.AP.724645_US.Normals.1991-2020.zip</v>
      </c>
    </row>
    <row r="429" spans="1:10" x14ac:dyDescent="0.25">
      <c r="A429" t="s">
        <v>35</v>
      </c>
      <c r="B429" t="s">
        <v>266</v>
      </c>
      <c r="C429" t="s">
        <v>296</v>
      </c>
      <c r="D429" s="2">
        <v>724645</v>
      </c>
      <c r="E429" t="s">
        <v>13</v>
      </c>
      <c r="F429">
        <v>37.2622</v>
      </c>
      <c r="G429">
        <v>-104.3378</v>
      </c>
      <c r="H429">
        <v>-7</v>
      </c>
      <c r="I429">
        <v>1749.9</v>
      </c>
      <c r="J429" t="str">
        <f>HYPERLINK("https://climate.onebuilding.org/WMO_Region_4_North_and_Central_America/USA_United_States_of_America/CO_Colorado/USA_CO_Trinidad-Stokes.AP.724645_US.Normals.2006-2020.zip")</f>
        <v>https://climate.onebuilding.org/WMO_Region_4_North_and_Central_America/USA_United_States_of_America/CO_Colorado/USA_CO_Trinidad-Stokes.AP.724645_US.Normals.2006-2020.zip</v>
      </c>
    </row>
    <row r="430" spans="1:10" x14ac:dyDescent="0.25">
      <c r="A430" t="s">
        <v>35</v>
      </c>
      <c r="B430" t="s">
        <v>266</v>
      </c>
      <c r="C430" t="s">
        <v>297</v>
      </c>
      <c r="D430" s="2">
        <v>745310</v>
      </c>
      <c r="E430" t="s">
        <v>13</v>
      </c>
      <c r="F430">
        <v>38.966700000000003</v>
      </c>
      <c r="G430">
        <v>-104.8167</v>
      </c>
      <c r="H430">
        <v>-7</v>
      </c>
      <c r="I430">
        <v>2003.1</v>
      </c>
      <c r="J430" t="str">
        <f>HYPERLINK("https://climate.onebuilding.org/WMO_Region_4_North_and_Central_America/USA_United_States_of_America/CO_Colorado/USA_CO_USAF.Academy.AF.745310_US.Normals.2006-2020.zip")</f>
        <v>https://climate.onebuilding.org/WMO_Region_4_North_and_Central_America/USA_United_States_of_America/CO_Colorado/USA_CO_USAF.Academy.AF.745310_US.Normals.2006-2020.zip</v>
      </c>
    </row>
    <row r="431" spans="1:10" x14ac:dyDescent="0.25">
      <c r="A431" t="s">
        <v>35</v>
      </c>
      <c r="B431" t="s">
        <v>298</v>
      </c>
      <c r="C431" t="s">
        <v>299</v>
      </c>
      <c r="D431" s="2">
        <v>725040</v>
      </c>
      <c r="E431" t="s">
        <v>13</v>
      </c>
      <c r="F431">
        <v>41.158299999999997</v>
      </c>
      <c r="G431">
        <v>-73.128900000000002</v>
      </c>
      <c r="H431">
        <v>-5</v>
      </c>
      <c r="I431">
        <v>1.5</v>
      </c>
      <c r="J431" t="str">
        <f>HYPERLINK("https://climate.onebuilding.org/WMO_Region_4_North_and_Central_America/USA_United_States_of_America/CT_Connecticut/USA_CT_Bridgeport-Sikorsky.Meml.AP.725040_US.Normals.1991-2020.zip")</f>
        <v>https://climate.onebuilding.org/WMO_Region_4_North_and_Central_America/USA_United_States_of_America/CT_Connecticut/USA_CT_Bridgeport-Sikorsky.Meml.AP.725040_US.Normals.1991-2020.zip</v>
      </c>
    </row>
    <row r="432" spans="1:10" x14ac:dyDescent="0.25">
      <c r="A432" t="s">
        <v>35</v>
      </c>
      <c r="B432" t="s">
        <v>298</v>
      </c>
      <c r="C432" t="s">
        <v>299</v>
      </c>
      <c r="D432" s="2">
        <v>725040</v>
      </c>
      <c r="E432" t="s">
        <v>13</v>
      </c>
      <c r="F432">
        <v>41.158299999999997</v>
      </c>
      <c r="G432">
        <v>-73.128900000000002</v>
      </c>
      <c r="H432">
        <v>-5</v>
      </c>
      <c r="I432">
        <v>1.5</v>
      </c>
      <c r="J432" t="str">
        <f>HYPERLINK("https://climate.onebuilding.org/WMO_Region_4_North_and_Central_America/USA_United_States_of_America/CT_Connecticut/USA_CT_Bridgeport-Sikorsky.Meml.AP.725040_US.Normals.2006-2020.zip")</f>
        <v>https://climate.onebuilding.org/WMO_Region_4_North_and_Central_America/USA_United_States_of_America/CT_Connecticut/USA_CT_Bridgeport-Sikorsky.Meml.AP.725040_US.Normals.2006-2020.zip</v>
      </c>
    </row>
    <row r="433" spans="1:10" x14ac:dyDescent="0.25">
      <c r="A433" t="s">
        <v>35</v>
      </c>
      <c r="B433" t="s">
        <v>298</v>
      </c>
      <c r="C433" t="s">
        <v>300</v>
      </c>
      <c r="D433" s="2">
        <v>725086</v>
      </c>
      <c r="E433" t="s">
        <v>13</v>
      </c>
      <c r="F433">
        <v>41.371400000000001</v>
      </c>
      <c r="G433">
        <v>-73.482799999999997</v>
      </c>
      <c r="H433">
        <v>-5</v>
      </c>
      <c r="I433">
        <v>139.30000000000001</v>
      </c>
      <c r="J433" t="str">
        <f>HYPERLINK("https://climate.onebuilding.org/WMO_Region_4_North_and_Central_America/USA_United_States_of_America/CT_Connecticut/USA_CT_Danbury.Muni.AP.725086_US.Normals.2006-2020.zip")</f>
        <v>https://climate.onebuilding.org/WMO_Region_4_North_and_Central_America/USA_United_States_of_America/CT_Connecticut/USA_CT_Danbury.Muni.AP.725086_US.Normals.2006-2020.zip</v>
      </c>
    </row>
    <row r="434" spans="1:10" x14ac:dyDescent="0.25">
      <c r="A434" t="s">
        <v>35</v>
      </c>
      <c r="B434" t="s">
        <v>298</v>
      </c>
      <c r="C434" t="s">
        <v>301</v>
      </c>
      <c r="D434" s="2">
        <v>725046</v>
      </c>
      <c r="E434" t="s">
        <v>13</v>
      </c>
      <c r="F434">
        <v>41.327500000000001</v>
      </c>
      <c r="G434">
        <v>-72.049400000000006</v>
      </c>
      <c r="H434">
        <v>-5</v>
      </c>
      <c r="I434">
        <v>3</v>
      </c>
      <c r="J434" t="str">
        <f>HYPERLINK("https://climate.onebuilding.org/WMO_Region_4_North_and_Central_America/USA_United_States_of_America/CT_Connecticut/USA_CT_Groton-New.London.AP.725046_US.Normals.2006-2020.zip")</f>
        <v>https://climate.onebuilding.org/WMO_Region_4_North_and_Central_America/USA_United_States_of_America/CT_Connecticut/USA_CT_Groton-New.London.AP.725046_US.Normals.2006-2020.zip</v>
      </c>
    </row>
    <row r="435" spans="1:10" x14ac:dyDescent="0.25">
      <c r="A435" t="s">
        <v>35</v>
      </c>
      <c r="B435" t="s">
        <v>298</v>
      </c>
      <c r="C435" t="s">
        <v>302</v>
      </c>
      <c r="D435" s="2">
        <v>725080</v>
      </c>
      <c r="E435" t="s">
        <v>13</v>
      </c>
      <c r="F435">
        <v>41.938099999999999</v>
      </c>
      <c r="G435">
        <v>-72.682500000000005</v>
      </c>
      <c r="H435">
        <v>-5</v>
      </c>
      <c r="I435">
        <v>57.9</v>
      </c>
      <c r="J435" t="str">
        <f>HYPERLINK("https://climate.onebuilding.org/WMO_Region_4_North_and_Central_America/USA_United_States_of_America/CT_Connecticut/USA_CT_Hartford-Bradley.Intl.AP.725080_US.Normals.1981-2010.zip")</f>
        <v>https://climate.onebuilding.org/WMO_Region_4_North_and_Central_America/USA_United_States_of_America/CT_Connecticut/USA_CT_Hartford-Bradley.Intl.AP.725080_US.Normals.1981-2010.zip</v>
      </c>
    </row>
    <row r="436" spans="1:10" x14ac:dyDescent="0.25">
      <c r="A436" t="s">
        <v>35</v>
      </c>
      <c r="B436" t="s">
        <v>298</v>
      </c>
      <c r="C436" t="s">
        <v>302</v>
      </c>
      <c r="D436" s="2">
        <v>725080</v>
      </c>
      <c r="E436" t="s">
        <v>13</v>
      </c>
      <c r="F436">
        <v>41.938099999999999</v>
      </c>
      <c r="G436">
        <v>-72.682500000000005</v>
      </c>
      <c r="H436">
        <v>-5</v>
      </c>
      <c r="I436">
        <v>57.9</v>
      </c>
      <c r="J436" t="str">
        <f>HYPERLINK("https://climate.onebuilding.org/WMO_Region_4_North_and_Central_America/USA_United_States_of_America/CT_Connecticut/USA_CT_Hartford-Bradley.Intl.AP.725080_US.Normals.1991-2020.zip")</f>
        <v>https://climate.onebuilding.org/WMO_Region_4_North_and_Central_America/USA_United_States_of_America/CT_Connecticut/USA_CT_Hartford-Bradley.Intl.AP.725080_US.Normals.1991-2020.zip</v>
      </c>
    </row>
    <row r="437" spans="1:10" x14ac:dyDescent="0.25">
      <c r="A437" t="s">
        <v>35</v>
      </c>
      <c r="B437" t="s">
        <v>298</v>
      </c>
      <c r="C437" t="s">
        <v>302</v>
      </c>
      <c r="D437" s="2">
        <v>725080</v>
      </c>
      <c r="E437" t="s">
        <v>13</v>
      </c>
      <c r="F437">
        <v>41.938099999999999</v>
      </c>
      <c r="G437">
        <v>-72.682500000000005</v>
      </c>
      <c r="H437">
        <v>-5</v>
      </c>
      <c r="I437">
        <v>57.9</v>
      </c>
      <c r="J437" t="str">
        <f>HYPERLINK("https://climate.onebuilding.org/WMO_Region_4_North_and_Central_America/USA_United_States_of_America/CT_Connecticut/USA_CT_Hartford-Bradley.Intl.AP.725080_US.Normals.2006-2020.zip")</f>
        <v>https://climate.onebuilding.org/WMO_Region_4_North_and_Central_America/USA_United_States_of_America/CT_Connecticut/USA_CT_Hartford-Bradley.Intl.AP.725080_US.Normals.2006-2020.zip</v>
      </c>
    </row>
    <row r="438" spans="1:10" x14ac:dyDescent="0.25">
      <c r="A438" t="s">
        <v>35</v>
      </c>
      <c r="B438" t="s">
        <v>298</v>
      </c>
      <c r="C438" t="s">
        <v>303</v>
      </c>
      <c r="D438" s="2">
        <v>725087</v>
      </c>
      <c r="E438" t="s">
        <v>13</v>
      </c>
      <c r="F438">
        <v>41.7361</v>
      </c>
      <c r="G438">
        <v>-72.650599999999997</v>
      </c>
      <c r="H438">
        <v>-5</v>
      </c>
      <c r="I438">
        <v>5.8</v>
      </c>
      <c r="J438" t="str">
        <f>HYPERLINK("https://climate.onebuilding.org/WMO_Region_4_North_and_Central_America/USA_United_States_of_America/CT_Connecticut/USA_CT_Hartford-Brainard.AP.725087_US.Normals.2006-2020.zip")</f>
        <v>https://climate.onebuilding.org/WMO_Region_4_North_and_Central_America/USA_United_States_of_America/CT_Connecticut/USA_CT_Hartford-Brainard.AP.725087_US.Normals.2006-2020.zip</v>
      </c>
    </row>
    <row r="439" spans="1:10" x14ac:dyDescent="0.25">
      <c r="A439" t="s">
        <v>35</v>
      </c>
      <c r="B439" t="s">
        <v>298</v>
      </c>
      <c r="C439" t="s">
        <v>304</v>
      </c>
      <c r="D439" s="2">
        <v>725027</v>
      </c>
      <c r="E439" t="s">
        <v>13</v>
      </c>
      <c r="F439">
        <v>41.509700000000002</v>
      </c>
      <c r="G439">
        <v>-72.827799999999996</v>
      </c>
      <c r="H439">
        <v>-5</v>
      </c>
      <c r="I439">
        <v>31.4</v>
      </c>
      <c r="J439" t="str">
        <f>HYPERLINK("https://climate.onebuilding.org/WMO_Region_4_North_and_Central_America/USA_United_States_of_America/CT_Connecticut/USA_CT_Meriden.Markham.Muni.AP.725027_US.Normals.2006-2020.zip")</f>
        <v>https://climate.onebuilding.org/WMO_Region_4_North_and_Central_America/USA_United_States_of_America/CT_Connecticut/USA_CT_Meriden.Markham.Muni.AP.725027_US.Normals.2006-2020.zip</v>
      </c>
    </row>
    <row r="440" spans="1:10" x14ac:dyDescent="0.25">
      <c r="A440" t="s">
        <v>35</v>
      </c>
      <c r="B440" t="s">
        <v>298</v>
      </c>
      <c r="C440" t="s">
        <v>305</v>
      </c>
      <c r="D440" s="2">
        <v>725045</v>
      </c>
      <c r="E440" t="s">
        <v>13</v>
      </c>
      <c r="F440">
        <v>41.2639</v>
      </c>
      <c r="G440">
        <v>-72.887200000000007</v>
      </c>
      <c r="H440">
        <v>-5</v>
      </c>
      <c r="I440">
        <v>0.9</v>
      </c>
      <c r="J440" t="str">
        <f>HYPERLINK("https://climate.onebuilding.org/WMO_Region_4_North_and_Central_America/USA_United_States_of_America/CT_Connecticut/USA_CT_Tweed.New.Haven.AP.725045_US.Normals.2006-2020.zip")</f>
        <v>https://climate.onebuilding.org/WMO_Region_4_North_and_Central_America/USA_United_States_of_America/CT_Connecticut/USA_CT_Tweed.New.Haven.AP.725045_US.Normals.2006-2020.zip</v>
      </c>
    </row>
    <row r="441" spans="1:10" x14ac:dyDescent="0.25">
      <c r="A441" t="s">
        <v>35</v>
      </c>
      <c r="B441" t="s">
        <v>298</v>
      </c>
      <c r="C441" t="s">
        <v>306</v>
      </c>
      <c r="D441" s="2">
        <v>725084</v>
      </c>
      <c r="E441" t="s">
        <v>13</v>
      </c>
      <c r="F441">
        <v>41.741900000000001</v>
      </c>
      <c r="G441">
        <v>-72.183599999999998</v>
      </c>
      <c r="H441">
        <v>-5</v>
      </c>
      <c r="I441">
        <v>75.3</v>
      </c>
      <c r="J441" t="str">
        <f>HYPERLINK("https://climate.onebuilding.org/WMO_Region_4_North_and_Central_America/USA_United_States_of_America/CT_Connecticut/USA_CT_Windham.AP.725084_US.Normals.2006-2020.zip")</f>
        <v>https://climate.onebuilding.org/WMO_Region_4_North_and_Central_America/USA_United_States_of_America/CT_Connecticut/USA_CT_Windham.AP.725084_US.Normals.2006-2020.zip</v>
      </c>
    </row>
    <row r="442" spans="1:10" x14ac:dyDescent="0.25">
      <c r="A442" t="s">
        <v>35</v>
      </c>
      <c r="B442" t="s">
        <v>307</v>
      </c>
      <c r="C442" t="s">
        <v>308</v>
      </c>
      <c r="D442" s="2">
        <v>724088</v>
      </c>
      <c r="E442" t="s">
        <v>13</v>
      </c>
      <c r="F442">
        <v>39.133299999999998</v>
      </c>
      <c r="G442">
        <v>-75.466700000000003</v>
      </c>
      <c r="H442">
        <v>-5</v>
      </c>
      <c r="I442">
        <v>7</v>
      </c>
      <c r="J442" t="str">
        <f>HYPERLINK("https://climate.onebuilding.org/WMO_Region_4_North_and_Central_America/USA_United_States_of_America/DE_Delaware/USA_DE_Dover.AFB.724088_US.Normals.1981-2010.zip")</f>
        <v>https://climate.onebuilding.org/WMO_Region_4_North_and_Central_America/USA_United_States_of_America/DE_Delaware/USA_DE_Dover.AFB.724088_US.Normals.1981-2010.zip</v>
      </c>
    </row>
    <row r="443" spans="1:10" x14ac:dyDescent="0.25">
      <c r="A443" t="s">
        <v>35</v>
      </c>
      <c r="B443" t="s">
        <v>307</v>
      </c>
      <c r="C443" t="s">
        <v>308</v>
      </c>
      <c r="D443" s="2">
        <v>724088</v>
      </c>
      <c r="E443" t="s">
        <v>13</v>
      </c>
      <c r="F443">
        <v>39.133299999999998</v>
      </c>
      <c r="G443">
        <v>-75.466700000000003</v>
      </c>
      <c r="H443">
        <v>-5</v>
      </c>
      <c r="I443">
        <v>7</v>
      </c>
      <c r="J443" t="str">
        <f>HYPERLINK("https://climate.onebuilding.org/WMO_Region_4_North_and_Central_America/USA_United_States_of_America/DE_Delaware/USA_DE_Dover.AFB.724088_US.Normals.1991-2020.zip")</f>
        <v>https://climate.onebuilding.org/WMO_Region_4_North_and_Central_America/USA_United_States_of_America/DE_Delaware/USA_DE_Dover.AFB.724088_US.Normals.1991-2020.zip</v>
      </c>
    </row>
    <row r="444" spans="1:10" x14ac:dyDescent="0.25">
      <c r="A444" t="s">
        <v>35</v>
      </c>
      <c r="B444" t="s">
        <v>307</v>
      </c>
      <c r="C444" t="s">
        <v>308</v>
      </c>
      <c r="D444" s="2">
        <v>724088</v>
      </c>
      <c r="E444" t="s">
        <v>13</v>
      </c>
      <c r="F444">
        <v>39.133299999999998</v>
      </c>
      <c r="G444">
        <v>-75.466700000000003</v>
      </c>
      <c r="H444">
        <v>-5</v>
      </c>
      <c r="I444">
        <v>7</v>
      </c>
      <c r="J444" t="str">
        <f>HYPERLINK("https://climate.onebuilding.org/WMO_Region_4_North_and_Central_America/USA_United_States_of_America/DE_Delaware/USA_DE_Dover.AFB.724088_US.Normals.2006-2020.zip")</f>
        <v>https://climate.onebuilding.org/WMO_Region_4_North_and_Central_America/USA_United_States_of_America/DE_Delaware/USA_DE_Dover.AFB.724088_US.Normals.2006-2020.zip</v>
      </c>
    </row>
    <row r="445" spans="1:10" x14ac:dyDescent="0.25">
      <c r="A445" t="s">
        <v>35</v>
      </c>
      <c r="B445" t="s">
        <v>307</v>
      </c>
      <c r="C445" t="s">
        <v>309</v>
      </c>
      <c r="D445" s="2">
        <v>724093</v>
      </c>
      <c r="E445" t="s">
        <v>13</v>
      </c>
      <c r="F445">
        <v>38.6892</v>
      </c>
      <c r="G445">
        <v>-75.359200000000001</v>
      </c>
      <c r="H445">
        <v>-5</v>
      </c>
      <c r="I445">
        <v>15.5</v>
      </c>
      <c r="J445" t="str">
        <f>HYPERLINK("https://climate.onebuilding.org/WMO_Region_4_North_and_Central_America/USA_United_States_of_America/DE_Delaware/USA_DE_Georgetown-Delaware.Coastal.AP.724093_US.Normals.2006-2020.zip")</f>
        <v>https://climate.onebuilding.org/WMO_Region_4_North_and_Central_America/USA_United_States_of_America/DE_Delaware/USA_DE_Georgetown-Delaware.Coastal.AP.724093_US.Normals.2006-2020.zip</v>
      </c>
    </row>
    <row r="446" spans="1:10" x14ac:dyDescent="0.25">
      <c r="A446" t="s">
        <v>35</v>
      </c>
      <c r="B446" t="s">
        <v>307</v>
      </c>
      <c r="C446" t="s">
        <v>310</v>
      </c>
      <c r="D446" s="2">
        <v>724180</v>
      </c>
      <c r="E446" t="s">
        <v>13</v>
      </c>
      <c r="F446">
        <v>39.672800000000002</v>
      </c>
      <c r="G446">
        <v>-75.600800000000007</v>
      </c>
      <c r="H446">
        <v>-5</v>
      </c>
      <c r="I446">
        <v>24.1</v>
      </c>
      <c r="J446" t="str">
        <f>HYPERLINK("https://climate.onebuilding.org/WMO_Region_4_North_and_Central_America/USA_United_States_of_America/DE_Delaware/USA_DE_Wilmington-New.Castle.County.AP.724180_US.Normals.1981-2010.zip")</f>
        <v>https://climate.onebuilding.org/WMO_Region_4_North_and_Central_America/USA_United_States_of_America/DE_Delaware/USA_DE_Wilmington-New.Castle.County.AP.724180_US.Normals.1981-2010.zip</v>
      </c>
    </row>
    <row r="447" spans="1:10" x14ac:dyDescent="0.25">
      <c r="A447" t="s">
        <v>35</v>
      </c>
      <c r="B447" t="s">
        <v>307</v>
      </c>
      <c r="C447" t="s">
        <v>310</v>
      </c>
      <c r="D447" s="2">
        <v>724180</v>
      </c>
      <c r="E447" t="s">
        <v>13</v>
      </c>
      <c r="F447">
        <v>39.672800000000002</v>
      </c>
      <c r="G447">
        <v>-75.600800000000007</v>
      </c>
      <c r="H447">
        <v>-5</v>
      </c>
      <c r="I447">
        <v>24.1</v>
      </c>
      <c r="J447" t="str">
        <f>HYPERLINK("https://climate.onebuilding.org/WMO_Region_4_North_and_Central_America/USA_United_States_of_America/DE_Delaware/USA_DE_Wilmington-New.Castle.County.AP.724180_US.Normals.2006-2020.zip")</f>
        <v>https://climate.onebuilding.org/WMO_Region_4_North_and_Central_America/USA_United_States_of_America/DE_Delaware/USA_DE_Wilmington-New.Castle.County.AP.724180_US.Normals.2006-2020.zip</v>
      </c>
    </row>
    <row r="448" spans="1:10" x14ac:dyDescent="0.25">
      <c r="A448" t="s">
        <v>35</v>
      </c>
      <c r="B448" t="s">
        <v>311</v>
      </c>
      <c r="C448" t="s">
        <v>312</v>
      </c>
      <c r="D448" s="2">
        <v>722200</v>
      </c>
      <c r="E448" t="s">
        <v>13</v>
      </c>
      <c r="F448">
        <v>29.7333</v>
      </c>
      <c r="G448">
        <v>-85.033299999999997</v>
      </c>
      <c r="H448">
        <v>-6</v>
      </c>
      <c r="I448">
        <v>5.8</v>
      </c>
      <c r="J448" t="str">
        <f>HYPERLINK("https://climate.onebuilding.org/WMO_Region_4_North_and_Central_America/USA_United_States_of_America/FL_Florida/USA_FL_Apalachicola.Rgnl.AP.722200_US.Normals.2006-2020.zip")</f>
        <v>https://climate.onebuilding.org/WMO_Region_4_North_and_Central_America/USA_United_States_of_America/FL_Florida/USA_FL_Apalachicola.Rgnl.AP.722200_US.Normals.2006-2020.zip</v>
      </c>
    </row>
    <row r="449" spans="1:10" x14ac:dyDescent="0.25">
      <c r="A449" t="s">
        <v>35</v>
      </c>
      <c r="B449" t="s">
        <v>311</v>
      </c>
      <c r="C449" t="s">
        <v>313</v>
      </c>
      <c r="D449" s="2">
        <v>752040</v>
      </c>
      <c r="E449" t="s">
        <v>13</v>
      </c>
      <c r="F449">
        <v>25.899699999999999</v>
      </c>
      <c r="G449">
        <v>-81.318299999999994</v>
      </c>
      <c r="H449">
        <v>-5</v>
      </c>
      <c r="I449">
        <v>1.2</v>
      </c>
      <c r="J449" t="str">
        <f>HYPERLINK("https://climate.onebuilding.org/WMO_Region_4_North_and_Central_America/USA_United_States_of_America/FL_Florida/USA_FL_Big.Cypress.Natl.Preserve.752040_US.Normals.2006-2020.zip")</f>
        <v>https://climate.onebuilding.org/WMO_Region_4_North_and_Central_America/USA_United_States_of_America/FL_Florida/USA_FL_Big.Cypress.Natl.Preserve.752040_US.Normals.2006-2020.zip</v>
      </c>
    </row>
    <row r="450" spans="1:10" x14ac:dyDescent="0.25">
      <c r="A450" t="s">
        <v>35</v>
      </c>
      <c r="B450" t="s">
        <v>311</v>
      </c>
      <c r="C450" t="s">
        <v>314</v>
      </c>
      <c r="D450" s="2">
        <v>722014</v>
      </c>
      <c r="E450" t="s">
        <v>13</v>
      </c>
      <c r="F450">
        <v>28.473600000000001</v>
      </c>
      <c r="G450">
        <v>-82.454400000000007</v>
      </c>
      <c r="H450">
        <v>-5</v>
      </c>
      <c r="I450">
        <v>23.5</v>
      </c>
      <c r="J450" t="str">
        <f>HYPERLINK("https://climate.onebuilding.org/WMO_Region_4_North_and_Central_America/USA_United_States_of_America/FL_Florida/USA_FL_Brooksville-Tampa.Bay.Rgnl.AP.722014_US.Normals.2006-2020.zip")</f>
        <v>https://climate.onebuilding.org/WMO_Region_4_North_and_Central_America/USA_United_States_of_America/FL_Florida/USA_FL_Brooksville-Tampa.Bay.Rgnl.AP.722014_US.Normals.2006-2020.zip</v>
      </c>
    </row>
    <row r="451" spans="1:10" x14ac:dyDescent="0.25">
      <c r="A451" t="s">
        <v>35</v>
      </c>
      <c r="B451" t="s">
        <v>311</v>
      </c>
      <c r="C451" t="s">
        <v>315</v>
      </c>
      <c r="D451" s="2">
        <v>747940</v>
      </c>
      <c r="E451" t="s">
        <v>13</v>
      </c>
      <c r="F451">
        <v>28.4833</v>
      </c>
      <c r="G451">
        <v>-80.566699999999997</v>
      </c>
      <c r="H451">
        <v>-5</v>
      </c>
      <c r="I451">
        <v>4.9000000000000004</v>
      </c>
      <c r="J451" t="str">
        <f>HYPERLINK("https://climate.onebuilding.org/WMO_Region_4_North_and_Central_America/USA_United_States_of_America/FL_Florida/USA_FL_Cape.Canaveral.AFS.747940_US.Normals.2006-2020.zip")</f>
        <v>https://climate.onebuilding.org/WMO_Region_4_North_and_Central_America/USA_United_States_of_America/FL_Florida/USA_FL_Cape.Canaveral.AFS.747940_US.Normals.2006-2020.zip</v>
      </c>
    </row>
    <row r="452" spans="1:10" x14ac:dyDescent="0.25">
      <c r="A452" t="s">
        <v>35</v>
      </c>
      <c r="B452" t="s">
        <v>311</v>
      </c>
      <c r="C452" t="s">
        <v>316</v>
      </c>
      <c r="D452" s="2">
        <v>722246</v>
      </c>
      <c r="E452" t="s">
        <v>13</v>
      </c>
      <c r="F452">
        <v>30.65</v>
      </c>
      <c r="G452">
        <v>-86.533299999999997</v>
      </c>
      <c r="H452">
        <v>-6</v>
      </c>
      <c r="I452">
        <v>57.9</v>
      </c>
      <c r="J452" t="str">
        <f>HYPERLINK("https://climate.onebuilding.org/WMO_Region_4_North_and_Central_America/USA_United_States_of_America/FL_Florida/USA_FL_Crestview-Duke.Field.AS.722246_US.Normals.2006-2020.zip")</f>
        <v>https://climate.onebuilding.org/WMO_Region_4_North_and_Central_America/USA_United_States_of_America/FL_Florida/USA_FL_Crestview-Duke.Field.AS.722246_US.Normals.2006-2020.zip</v>
      </c>
    </row>
    <row r="453" spans="1:10" x14ac:dyDescent="0.25">
      <c r="A453" t="s">
        <v>35</v>
      </c>
      <c r="B453" t="s">
        <v>311</v>
      </c>
      <c r="C453" t="s">
        <v>317</v>
      </c>
      <c r="D453" s="2">
        <v>722215</v>
      </c>
      <c r="E453" t="s">
        <v>13</v>
      </c>
      <c r="F453">
        <v>30.779699999999998</v>
      </c>
      <c r="G453">
        <v>-86.522499999999994</v>
      </c>
      <c r="H453">
        <v>-6</v>
      </c>
      <c r="I453">
        <v>57.9</v>
      </c>
      <c r="J453" t="str">
        <f>HYPERLINK("https://climate.onebuilding.org/WMO_Region_4_North_and_Central_America/USA_United_States_of_America/FL_Florida/USA_FL_Crestview-Sikes.AP.722215_US.Normals.2006-2020.zip")</f>
        <v>https://climate.onebuilding.org/WMO_Region_4_North_and_Central_America/USA_United_States_of_America/FL_Florida/USA_FL_Crestview-Sikes.AP.722215_US.Normals.2006-2020.zip</v>
      </c>
    </row>
    <row r="454" spans="1:10" x14ac:dyDescent="0.25">
      <c r="A454" t="s">
        <v>35</v>
      </c>
      <c r="B454" t="s">
        <v>311</v>
      </c>
      <c r="C454" t="s">
        <v>318</v>
      </c>
      <c r="D454" s="2">
        <v>722120</v>
      </c>
      <c r="E454" t="s">
        <v>13</v>
      </c>
      <c r="F454">
        <v>29.633299999999998</v>
      </c>
      <c r="G454">
        <v>-83.1053</v>
      </c>
      <c r="H454">
        <v>-6</v>
      </c>
      <c r="I454">
        <v>11.6</v>
      </c>
      <c r="J454" t="str">
        <f>HYPERLINK("https://climate.onebuilding.org/WMO_Region_4_North_and_Central_America/USA_United_States_of_America/FL_Florida/USA_FL_Cross.City.AP.722120_US.Normals.1991-2020.zip")</f>
        <v>https://climate.onebuilding.org/WMO_Region_4_North_and_Central_America/USA_United_States_of_America/FL_Florida/USA_FL_Cross.City.AP.722120_US.Normals.1991-2020.zip</v>
      </c>
    </row>
    <row r="455" spans="1:10" x14ac:dyDescent="0.25">
      <c r="A455" t="s">
        <v>35</v>
      </c>
      <c r="B455" t="s">
        <v>311</v>
      </c>
      <c r="C455" t="s">
        <v>318</v>
      </c>
      <c r="D455" s="2">
        <v>722120</v>
      </c>
      <c r="E455" t="s">
        <v>13</v>
      </c>
      <c r="F455">
        <v>29.633299999999998</v>
      </c>
      <c r="G455">
        <v>-83.1053</v>
      </c>
      <c r="H455">
        <v>-6</v>
      </c>
      <c r="I455">
        <v>11.6</v>
      </c>
      <c r="J455" t="str">
        <f>HYPERLINK("https://climate.onebuilding.org/WMO_Region_4_North_and_Central_America/USA_United_States_of_America/FL_Florida/USA_FL_Cross.City.AP.722120_US.Normals.2006-2020.zip")</f>
        <v>https://climate.onebuilding.org/WMO_Region_4_North_and_Central_America/USA_United_States_of_America/FL_Florida/USA_FL_Cross.City.AP.722120_US.Normals.2006-2020.zip</v>
      </c>
    </row>
    <row r="456" spans="1:10" x14ac:dyDescent="0.25">
      <c r="A456" t="s">
        <v>35</v>
      </c>
      <c r="B456" t="s">
        <v>311</v>
      </c>
      <c r="C456" t="s">
        <v>319</v>
      </c>
      <c r="D456" s="2">
        <v>747870</v>
      </c>
      <c r="E456" t="s">
        <v>13</v>
      </c>
      <c r="F456">
        <v>29.1828</v>
      </c>
      <c r="G456">
        <v>-81.048299999999998</v>
      </c>
      <c r="H456">
        <v>-5</v>
      </c>
      <c r="I456">
        <v>9.4</v>
      </c>
      <c r="J456" t="str">
        <f>HYPERLINK("https://climate.onebuilding.org/WMO_Region_4_North_and_Central_America/USA_United_States_of_America/FL_Florida/USA_FL_Daytona.Beach.Intl.AP.747870_US.Normals.1981-2010.zip")</f>
        <v>https://climate.onebuilding.org/WMO_Region_4_North_and_Central_America/USA_United_States_of_America/FL_Florida/USA_FL_Daytona.Beach.Intl.AP.747870_US.Normals.1981-2010.zip</v>
      </c>
    </row>
    <row r="457" spans="1:10" x14ac:dyDescent="0.25">
      <c r="A457" t="s">
        <v>35</v>
      </c>
      <c r="B457" t="s">
        <v>311</v>
      </c>
      <c r="C457" t="s">
        <v>319</v>
      </c>
      <c r="D457" s="2">
        <v>747870</v>
      </c>
      <c r="E457" t="s">
        <v>13</v>
      </c>
      <c r="F457">
        <v>29.1828</v>
      </c>
      <c r="G457">
        <v>-81.048299999999998</v>
      </c>
      <c r="H457">
        <v>-5</v>
      </c>
      <c r="I457">
        <v>9.4</v>
      </c>
      <c r="J457" t="str">
        <f>HYPERLINK("https://climate.onebuilding.org/WMO_Region_4_North_and_Central_America/USA_United_States_of_America/FL_Florida/USA_FL_Daytona.Beach.Intl.AP.747870_US.Normals.2006-2020.zip")</f>
        <v>https://climate.onebuilding.org/WMO_Region_4_North_and_Central_America/USA_United_States_of_America/FL_Florida/USA_FL_Daytona.Beach.Intl.AP.747870_US.Normals.2006-2020.zip</v>
      </c>
    </row>
    <row r="458" spans="1:10" x14ac:dyDescent="0.25">
      <c r="A458" t="s">
        <v>35</v>
      </c>
      <c r="B458" t="s">
        <v>311</v>
      </c>
      <c r="C458" t="s">
        <v>320</v>
      </c>
      <c r="D458" s="2">
        <v>722210</v>
      </c>
      <c r="E458" t="s">
        <v>13</v>
      </c>
      <c r="F458">
        <v>30.4833</v>
      </c>
      <c r="G458">
        <v>-86.5167</v>
      </c>
      <c r="H458">
        <v>-6</v>
      </c>
      <c r="I458">
        <v>18</v>
      </c>
      <c r="J458" t="str">
        <f>HYPERLINK("https://climate.onebuilding.org/WMO_Region_4_North_and_Central_America/USA_United_States_of_America/FL_Florida/USA_FL_Destin-Fort.Walton.Beach.AP-Eglin.AFB.722210_US.Normals.1981-2010.zip")</f>
        <v>https://climate.onebuilding.org/WMO_Region_4_North_and_Central_America/USA_United_States_of_America/FL_Florida/USA_FL_Destin-Fort.Walton.Beach.AP-Eglin.AFB.722210_US.Normals.1981-2010.zip</v>
      </c>
    </row>
    <row r="459" spans="1:10" x14ac:dyDescent="0.25">
      <c r="A459" t="s">
        <v>35</v>
      </c>
      <c r="B459" t="s">
        <v>311</v>
      </c>
      <c r="C459" t="s">
        <v>320</v>
      </c>
      <c r="D459" s="2">
        <v>722210</v>
      </c>
      <c r="E459" t="s">
        <v>13</v>
      </c>
      <c r="F459">
        <v>30.4833</v>
      </c>
      <c r="G459">
        <v>-86.5167</v>
      </c>
      <c r="H459">
        <v>-6</v>
      </c>
      <c r="I459">
        <v>18</v>
      </c>
      <c r="J459" t="str">
        <f>HYPERLINK("https://climate.onebuilding.org/WMO_Region_4_North_and_Central_America/USA_United_States_of_America/FL_Florida/USA_FL_Destin-Fort.Walton.Beach.AP-Eglin.AFB.722210_US.Normals.1991-2020.zip")</f>
        <v>https://climate.onebuilding.org/WMO_Region_4_North_and_Central_America/USA_United_States_of_America/FL_Florida/USA_FL_Destin-Fort.Walton.Beach.AP-Eglin.AFB.722210_US.Normals.1991-2020.zip</v>
      </c>
    </row>
    <row r="460" spans="1:10" x14ac:dyDescent="0.25">
      <c r="A460" t="s">
        <v>35</v>
      </c>
      <c r="B460" t="s">
        <v>311</v>
      </c>
      <c r="C460" t="s">
        <v>320</v>
      </c>
      <c r="D460" s="2">
        <v>722210</v>
      </c>
      <c r="E460" t="s">
        <v>13</v>
      </c>
      <c r="F460">
        <v>30.4833</v>
      </c>
      <c r="G460">
        <v>-86.5167</v>
      </c>
      <c r="H460">
        <v>-6</v>
      </c>
      <c r="I460">
        <v>18</v>
      </c>
      <c r="J460" t="str">
        <f>HYPERLINK("https://climate.onebuilding.org/WMO_Region_4_North_and_Central_America/USA_United_States_of_America/FL_Florida/USA_FL_Destin-Fort.Walton.Beach.AP-Eglin.AFB.722210_US.Normals.2006-2020.zip")</f>
        <v>https://climate.onebuilding.org/WMO_Region_4_North_and_Central_America/USA_United_States_of_America/FL_Florida/USA_FL_Destin-Fort.Walton.Beach.AP-Eglin.AFB.722210_US.Normals.2006-2020.zip</v>
      </c>
    </row>
    <row r="461" spans="1:10" x14ac:dyDescent="0.25">
      <c r="A461" t="s">
        <v>35</v>
      </c>
      <c r="B461" t="s">
        <v>311</v>
      </c>
      <c r="C461" t="s">
        <v>321</v>
      </c>
      <c r="D461" s="2">
        <v>722069</v>
      </c>
      <c r="E461" t="s">
        <v>13</v>
      </c>
      <c r="F461">
        <v>30.4</v>
      </c>
      <c r="G461">
        <v>-86.471699999999998</v>
      </c>
      <c r="H461">
        <v>-6</v>
      </c>
      <c r="I461">
        <v>6.7</v>
      </c>
      <c r="J461" t="str">
        <f>HYPERLINK("https://climate.onebuilding.org/WMO_Region_4_North_and_Central_America/USA_United_States_of_America/FL_Florida/USA_FL_Destin.Exec.AP.722069_US.Normals.2006-2020.zip")</f>
        <v>https://climate.onebuilding.org/WMO_Region_4_North_and_Central_America/USA_United_States_of_America/FL_Florida/USA_FL_Destin.Exec.AP.722069_US.Normals.2006-2020.zip</v>
      </c>
    </row>
    <row r="462" spans="1:10" x14ac:dyDescent="0.25">
      <c r="A462" t="s">
        <v>35</v>
      </c>
      <c r="B462" t="s">
        <v>311</v>
      </c>
      <c r="C462" t="s">
        <v>322</v>
      </c>
      <c r="D462" s="2">
        <v>722016</v>
      </c>
      <c r="E462" t="s">
        <v>13</v>
      </c>
      <c r="F462">
        <v>24.7258</v>
      </c>
      <c r="G462">
        <v>-81.051699999999997</v>
      </c>
      <c r="H462">
        <v>-5</v>
      </c>
      <c r="I462">
        <v>2.4</v>
      </c>
      <c r="J462" t="str">
        <f>HYPERLINK("https://climate.onebuilding.org/WMO_Region_4_North_and_Central_America/USA_United_States_of_America/FL_Florida/USA_FL_Florida.Keys.Marathon.Intl.AP.722016_US.Normals.2006-2020.zip")</f>
        <v>https://climate.onebuilding.org/WMO_Region_4_North_and_Central_America/USA_United_States_of_America/FL_Florida/USA_FL_Florida.Keys.Marathon.Intl.AP.722016_US.Normals.2006-2020.zip</v>
      </c>
    </row>
    <row r="463" spans="1:10" x14ac:dyDescent="0.25">
      <c r="A463" t="s">
        <v>35</v>
      </c>
      <c r="B463" t="s">
        <v>311</v>
      </c>
      <c r="C463" t="s">
        <v>323</v>
      </c>
      <c r="D463" s="2">
        <v>747830</v>
      </c>
      <c r="E463" t="s">
        <v>13</v>
      </c>
      <c r="F463">
        <v>26.071899999999999</v>
      </c>
      <c r="G463">
        <v>-80.153599999999997</v>
      </c>
      <c r="H463">
        <v>-5</v>
      </c>
      <c r="I463">
        <v>3.4</v>
      </c>
      <c r="J463" t="str">
        <f>HYPERLINK("https://climate.onebuilding.org/WMO_Region_4_North_and_Central_America/USA_United_States_of_America/FL_Florida/USA_FL_Fort.Lauderdale-Hollywood.Intl.AP.747830_US.Normals.1981-2010.zip")</f>
        <v>https://climate.onebuilding.org/WMO_Region_4_North_and_Central_America/USA_United_States_of_America/FL_Florida/USA_FL_Fort.Lauderdale-Hollywood.Intl.AP.747830_US.Normals.1981-2010.zip</v>
      </c>
    </row>
    <row r="464" spans="1:10" x14ac:dyDescent="0.25">
      <c r="A464" t="s">
        <v>35</v>
      </c>
      <c r="B464" t="s">
        <v>311</v>
      </c>
      <c r="C464" t="s">
        <v>323</v>
      </c>
      <c r="D464" s="2">
        <v>747830</v>
      </c>
      <c r="E464" t="s">
        <v>13</v>
      </c>
      <c r="F464">
        <v>26.071899999999999</v>
      </c>
      <c r="G464">
        <v>-80.153599999999997</v>
      </c>
      <c r="H464">
        <v>-5</v>
      </c>
      <c r="I464">
        <v>3.4</v>
      </c>
      <c r="J464" t="str">
        <f>HYPERLINK("https://climate.onebuilding.org/WMO_Region_4_North_and_Central_America/USA_United_States_of_America/FL_Florida/USA_FL_Fort.Lauderdale-Hollywood.Intl.AP.747830_US.Normals.2006-2020.zip")</f>
        <v>https://climate.onebuilding.org/WMO_Region_4_North_and_Central_America/USA_United_States_of_America/FL_Florida/USA_FL_Fort.Lauderdale-Hollywood.Intl.AP.747830_US.Normals.2006-2020.zip</v>
      </c>
    </row>
    <row r="465" spans="1:10" x14ac:dyDescent="0.25">
      <c r="A465" t="s">
        <v>35</v>
      </c>
      <c r="B465" t="s">
        <v>311</v>
      </c>
      <c r="C465" t="s">
        <v>324</v>
      </c>
      <c r="D465" s="2">
        <v>722039</v>
      </c>
      <c r="E465" t="s">
        <v>13</v>
      </c>
      <c r="F465">
        <v>26.196899999999999</v>
      </c>
      <c r="G465">
        <v>-80.1708</v>
      </c>
      <c r="H465">
        <v>-5</v>
      </c>
      <c r="I465">
        <v>4.3</v>
      </c>
      <c r="J465" t="str">
        <f>HYPERLINK("https://climate.onebuilding.org/WMO_Region_4_North_and_Central_America/USA_United_States_of_America/FL_Florida/USA_FL_Fort.Lauderdale.Exec.AP.722039_US.Normals.2006-2020.zip")</f>
        <v>https://climate.onebuilding.org/WMO_Region_4_North_and_Central_America/USA_United_States_of_America/FL_Florida/USA_FL_Fort.Lauderdale.Exec.AP.722039_US.Normals.2006-2020.zip</v>
      </c>
    </row>
    <row r="466" spans="1:10" x14ac:dyDescent="0.25">
      <c r="A466" t="s">
        <v>35</v>
      </c>
      <c r="B466" t="s">
        <v>311</v>
      </c>
      <c r="C466" t="s">
        <v>325</v>
      </c>
      <c r="D466" s="2">
        <v>722106</v>
      </c>
      <c r="E466" t="s">
        <v>13</v>
      </c>
      <c r="F466">
        <v>26.585000000000001</v>
      </c>
      <c r="G466">
        <v>-81.861400000000003</v>
      </c>
      <c r="H466">
        <v>-5</v>
      </c>
      <c r="I466">
        <v>4.5999999999999996</v>
      </c>
      <c r="J466" t="str">
        <f>HYPERLINK("https://climate.onebuilding.org/WMO_Region_4_North_and_Central_America/USA_United_States_of_America/FL_Florida/USA_FL_Fort.Myers-Page.Field.AP.722106_US.Normals.1981-2010.zip")</f>
        <v>https://climate.onebuilding.org/WMO_Region_4_North_and_Central_America/USA_United_States_of_America/FL_Florida/USA_FL_Fort.Myers-Page.Field.AP.722106_US.Normals.1981-2010.zip</v>
      </c>
    </row>
    <row r="467" spans="1:10" x14ac:dyDescent="0.25">
      <c r="A467" t="s">
        <v>35</v>
      </c>
      <c r="B467" t="s">
        <v>311</v>
      </c>
      <c r="C467" t="s">
        <v>325</v>
      </c>
      <c r="D467" s="2">
        <v>722106</v>
      </c>
      <c r="E467" t="s">
        <v>13</v>
      </c>
      <c r="F467">
        <v>26.585000000000001</v>
      </c>
      <c r="G467">
        <v>-81.861400000000003</v>
      </c>
      <c r="H467">
        <v>-5</v>
      </c>
      <c r="I467">
        <v>4.5999999999999996</v>
      </c>
      <c r="J467" t="str">
        <f>HYPERLINK("https://climate.onebuilding.org/WMO_Region_4_North_and_Central_America/USA_United_States_of_America/FL_Florida/USA_FL_Fort.Myers-Page.Field.AP.722106_US.Normals.1991-2020.zip")</f>
        <v>https://climate.onebuilding.org/WMO_Region_4_North_and_Central_America/USA_United_States_of_America/FL_Florida/USA_FL_Fort.Myers-Page.Field.AP.722106_US.Normals.1991-2020.zip</v>
      </c>
    </row>
    <row r="468" spans="1:10" x14ac:dyDescent="0.25">
      <c r="A468" t="s">
        <v>35</v>
      </c>
      <c r="B468" t="s">
        <v>311</v>
      </c>
      <c r="C468" t="s">
        <v>325</v>
      </c>
      <c r="D468" s="2">
        <v>722106</v>
      </c>
      <c r="E468" t="s">
        <v>13</v>
      </c>
      <c r="F468">
        <v>26.585000000000001</v>
      </c>
      <c r="G468">
        <v>-81.861400000000003</v>
      </c>
      <c r="H468">
        <v>-5</v>
      </c>
      <c r="I468">
        <v>4.5999999999999996</v>
      </c>
      <c r="J468" t="str">
        <f>HYPERLINK("https://climate.onebuilding.org/WMO_Region_4_North_and_Central_America/USA_United_States_of_America/FL_Florida/USA_FL_Fort.Myers-Page.Field.AP.722106_US.Normals.2006-2020.zip")</f>
        <v>https://climate.onebuilding.org/WMO_Region_4_North_and_Central_America/USA_United_States_of_America/FL_Florida/USA_FL_Fort.Myers-Page.Field.AP.722106_US.Normals.2006-2020.zip</v>
      </c>
    </row>
    <row r="469" spans="1:10" x14ac:dyDescent="0.25">
      <c r="A469" t="s">
        <v>35</v>
      </c>
      <c r="B469" t="s">
        <v>311</v>
      </c>
      <c r="C469" t="s">
        <v>326</v>
      </c>
      <c r="D469" s="2">
        <v>722108</v>
      </c>
      <c r="E469" t="s">
        <v>13</v>
      </c>
      <c r="F469">
        <v>26.536100000000001</v>
      </c>
      <c r="G469">
        <v>-81.754999999999995</v>
      </c>
      <c r="H469">
        <v>-5</v>
      </c>
      <c r="I469">
        <v>9.4</v>
      </c>
      <c r="J469" t="str">
        <f>HYPERLINK("https://climate.onebuilding.org/WMO_Region_4_North_and_Central_America/USA_United_States_of_America/FL_Florida/USA_FL_Fort.Myers-Southwest.Florida.Intl.AP.722108_US.Normals.1991-2020.zip")</f>
        <v>https://climate.onebuilding.org/WMO_Region_4_North_and_Central_America/USA_United_States_of_America/FL_Florida/USA_FL_Fort.Myers-Southwest.Florida.Intl.AP.722108_US.Normals.1991-2020.zip</v>
      </c>
    </row>
    <row r="470" spans="1:10" x14ac:dyDescent="0.25">
      <c r="A470" t="s">
        <v>35</v>
      </c>
      <c r="B470" t="s">
        <v>311</v>
      </c>
      <c r="C470" t="s">
        <v>326</v>
      </c>
      <c r="D470" s="2">
        <v>722108</v>
      </c>
      <c r="E470" t="s">
        <v>13</v>
      </c>
      <c r="F470">
        <v>26.536100000000001</v>
      </c>
      <c r="G470">
        <v>-81.754999999999995</v>
      </c>
      <c r="H470">
        <v>-5</v>
      </c>
      <c r="I470">
        <v>9.4</v>
      </c>
      <c r="J470" t="str">
        <f>HYPERLINK("https://climate.onebuilding.org/WMO_Region_4_North_and_Central_America/USA_United_States_of_America/FL_Florida/USA_FL_Fort.Myers-Southwest.Florida.Intl.AP.722108_US.Normals.2006-2020.zip")</f>
        <v>https://climate.onebuilding.org/WMO_Region_4_North_and_Central_America/USA_United_States_of_America/FL_Florida/USA_FL_Fort.Myers-Southwest.Florida.Intl.AP.722108_US.Normals.2006-2020.zip</v>
      </c>
    </row>
    <row r="471" spans="1:10" x14ac:dyDescent="0.25">
      <c r="A471" t="s">
        <v>35</v>
      </c>
      <c r="B471" t="s">
        <v>311</v>
      </c>
      <c r="C471" t="s">
        <v>327</v>
      </c>
      <c r="D471" s="2">
        <v>722103</v>
      </c>
      <c r="E471" t="s">
        <v>13</v>
      </c>
      <c r="F471">
        <v>27.498100000000001</v>
      </c>
      <c r="G471">
        <v>-80.3767</v>
      </c>
      <c r="H471">
        <v>-5</v>
      </c>
      <c r="I471">
        <v>7.3</v>
      </c>
      <c r="J471" t="str">
        <f>HYPERLINK("https://climate.onebuilding.org/WMO_Region_4_North_and_Central_America/USA_United_States_of_America/FL_Florida/USA_FL_Fort.Pierce-St.Lucie.County.Intl.AP.722103_US.Normals.2006-2020.zip")</f>
        <v>https://climate.onebuilding.org/WMO_Region_4_North_and_Central_America/USA_United_States_of_America/FL_Florida/USA_FL_Fort.Pierce-St.Lucie.County.Intl.AP.722103_US.Normals.2006-2020.zip</v>
      </c>
    </row>
    <row r="472" spans="1:10" x14ac:dyDescent="0.25">
      <c r="A472" t="s">
        <v>35</v>
      </c>
      <c r="B472" t="s">
        <v>311</v>
      </c>
      <c r="C472" t="s">
        <v>328</v>
      </c>
      <c r="D472" s="2">
        <v>747770</v>
      </c>
      <c r="E472" t="s">
        <v>13</v>
      </c>
      <c r="F472">
        <v>30.416699999999999</v>
      </c>
      <c r="G472">
        <v>-86.683300000000003</v>
      </c>
      <c r="H472">
        <v>-6</v>
      </c>
      <c r="I472">
        <v>11.9</v>
      </c>
      <c r="J472" t="str">
        <f>HYPERLINK("https://climate.onebuilding.org/WMO_Region_4_North_and_Central_America/USA_United_States_of_America/FL_Florida/USA_FL_Fort.Walton.Beach-Hurlburt.Field.747770_US.Normals.1991-2020.zip")</f>
        <v>https://climate.onebuilding.org/WMO_Region_4_North_and_Central_America/USA_United_States_of_America/FL_Florida/USA_FL_Fort.Walton.Beach-Hurlburt.Field.747770_US.Normals.1991-2020.zip</v>
      </c>
    </row>
    <row r="473" spans="1:10" x14ac:dyDescent="0.25">
      <c r="A473" t="s">
        <v>35</v>
      </c>
      <c r="B473" t="s">
        <v>311</v>
      </c>
      <c r="C473" t="s">
        <v>328</v>
      </c>
      <c r="D473" s="2">
        <v>747770</v>
      </c>
      <c r="E473" t="s">
        <v>13</v>
      </c>
      <c r="F473">
        <v>30.416699999999999</v>
      </c>
      <c r="G473">
        <v>-86.683300000000003</v>
      </c>
      <c r="H473">
        <v>-6</v>
      </c>
      <c r="I473">
        <v>11.9</v>
      </c>
      <c r="J473" t="str">
        <f>HYPERLINK("https://climate.onebuilding.org/WMO_Region_4_North_and_Central_America/USA_United_States_of_America/FL_Florida/USA_FL_Fort.Walton.Beach-Hurlburt.Field.747770_US.Normals.2006-2020.zip")</f>
        <v>https://climate.onebuilding.org/WMO_Region_4_North_and_Central_America/USA_United_States_of_America/FL_Florida/USA_FL_Fort.Walton.Beach-Hurlburt.Field.747770_US.Normals.2006-2020.zip</v>
      </c>
    </row>
    <row r="474" spans="1:10" x14ac:dyDescent="0.25">
      <c r="A474" t="s">
        <v>35</v>
      </c>
      <c r="B474" t="s">
        <v>311</v>
      </c>
      <c r="C474" t="s">
        <v>329</v>
      </c>
      <c r="D474" s="2">
        <v>747560</v>
      </c>
      <c r="E474" t="s">
        <v>13</v>
      </c>
      <c r="F474">
        <v>29.6919</v>
      </c>
      <c r="G474">
        <v>-82.275599999999997</v>
      </c>
      <c r="H474">
        <v>-5</v>
      </c>
      <c r="I474">
        <v>37.5</v>
      </c>
      <c r="J474" t="str">
        <f>HYPERLINK("https://climate.onebuilding.org/WMO_Region_4_North_and_Central_America/USA_United_States_of_America/FL_Florida/USA_FL_Gainesville.Rgnl.AP.747560_US.Normals.1981-2010.zip")</f>
        <v>https://climate.onebuilding.org/WMO_Region_4_North_and_Central_America/USA_United_States_of_America/FL_Florida/USA_FL_Gainesville.Rgnl.AP.747560_US.Normals.1981-2010.zip</v>
      </c>
    </row>
    <row r="475" spans="1:10" x14ac:dyDescent="0.25">
      <c r="A475" t="s">
        <v>35</v>
      </c>
      <c r="B475" t="s">
        <v>311</v>
      </c>
      <c r="C475" t="s">
        <v>329</v>
      </c>
      <c r="D475" s="2">
        <v>747560</v>
      </c>
      <c r="E475" t="s">
        <v>13</v>
      </c>
      <c r="F475">
        <v>29.6919</v>
      </c>
      <c r="G475">
        <v>-82.275599999999997</v>
      </c>
      <c r="H475">
        <v>-5</v>
      </c>
      <c r="I475">
        <v>37.5</v>
      </c>
      <c r="J475" t="str">
        <f>HYPERLINK("https://climate.onebuilding.org/WMO_Region_4_North_and_Central_America/USA_United_States_of_America/FL_Florida/USA_FL_Gainesville.Rgnl.AP.747560_US.Normals.2006-2020.zip")</f>
        <v>https://climate.onebuilding.org/WMO_Region_4_North_and_Central_America/USA_United_States_of_America/FL_Florida/USA_FL_Gainesville.Rgnl.AP.747560_US.Normals.2006-2020.zip</v>
      </c>
    </row>
    <row r="476" spans="1:10" x14ac:dyDescent="0.25">
      <c r="A476" t="s">
        <v>35</v>
      </c>
      <c r="B476" t="s">
        <v>311</v>
      </c>
      <c r="C476" t="s">
        <v>330</v>
      </c>
      <c r="D476" s="2">
        <v>722026</v>
      </c>
      <c r="E476" t="s">
        <v>13</v>
      </c>
      <c r="F476">
        <v>25.4833</v>
      </c>
      <c r="G476">
        <v>-80.383300000000006</v>
      </c>
      <c r="H476">
        <v>-5</v>
      </c>
      <c r="I476">
        <v>4.9000000000000004</v>
      </c>
      <c r="J476" t="str">
        <f>HYPERLINK("https://climate.onebuilding.org/WMO_Region_4_North_and_Central_America/USA_United_States_of_America/FL_Florida/USA_FL_Homestead.ARB.722026_US.Normals.1981-2010.zip")</f>
        <v>https://climate.onebuilding.org/WMO_Region_4_North_and_Central_America/USA_United_States_of_America/FL_Florida/USA_FL_Homestead.ARB.722026_US.Normals.1981-2010.zip</v>
      </c>
    </row>
    <row r="477" spans="1:10" x14ac:dyDescent="0.25">
      <c r="A477" t="s">
        <v>35</v>
      </c>
      <c r="B477" t="s">
        <v>311</v>
      </c>
      <c r="C477" t="s">
        <v>330</v>
      </c>
      <c r="D477" s="2">
        <v>722026</v>
      </c>
      <c r="E477" t="s">
        <v>13</v>
      </c>
      <c r="F477">
        <v>25.4833</v>
      </c>
      <c r="G477">
        <v>-80.383300000000006</v>
      </c>
      <c r="H477">
        <v>-5</v>
      </c>
      <c r="I477">
        <v>4.9000000000000004</v>
      </c>
      <c r="J477" t="str">
        <f>HYPERLINK("https://climate.onebuilding.org/WMO_Region_4_North_and_Central_America/USA_United_States_of_America/FL_Florida/USA_FL_Homestead.ARB.722026_US.Normals.1991-2020.zip")</f>
        <v>https://climate.onebuilding.org/WMO_Region_4_North_and_Central_America/USA_United_States_of_America/FL_Florida/USA_FL_Homestead.ARB.722026_US.Normals.1991-2020.zip</v>
      </c>
    </row>
    <row r="478" spans="1:10" x14ac:dyDescent="0.25">
      <c r="A478" t="s">
        <v>35</v>
      </c>
      <c r="B478" t="s">
        <v>311</v>
      </c>
      <c r="C478" t="s">
        <v>330</v>
      </c>
      <c r="D478" s="2">
        <v>722026</v>
      </c>
      <c r="E478" t="s">
        <v>13</v>
      </c>
      <c r="F478">
        <v>25.4833</v>
      </c>
      <c r="G478">
        <v>-80.383300000000006</v>
      </c>
      <c r="H478">
        <v>-5</v>
      </c>
      <c r="I478">
        <v>4.9000000000000004</v>
      </c>
      <c r="J478" t="str">
        <f>HYPERLINK("https://climate.onebuilding.org/WMO_Region_4_North_and_Central_America/USA_United_States_of_America/FL_Florida/USA_FL_Homestead.ARB.722026_US.Normals.2006-2020.zip")</f>
        <v>https://climate.onebuilding.org/WMO_Region_4_North_and_Central_America/USA_United_States_of_America/FL_Florida/USA_FL_Homestead.ARB.722026_US.Normals.2006-2020.zip</v>
      </c>
    </row>
    <row r="479" spans="1:10" x14ac:dyDescent="0.25">
      <c r="A479" t="s">
        <v>35</v>
      </c>
      <c r="B479" t="s">
        <v>311</v>
      </c>
      <c r="C479" t="s">
        <v>331</v>
      </c>
      <c r="D479" s="2">
        <v>722066</v>
      </c>
      <c r="E479" t="s">
        <v>13</v>
      </c>
      <c r="F479">
        <v>30.4</v>
      </c>
      <c r="G479">
        <v>-81.416700000000006</v>
      </c>
      <c r="H479">
        <v>-5</v>
      </c>
      <c r="I479">
        <v>4.9000000000000004</v>
      </c>
      <c r="J479" t="str">
        <f>HYPERLINK("https://climate.onebuilding.org/WMO_Region_4_North_and_Central_America/USA_United_States_of_America/FL_Florida/USA_FL_Jacksonville-NS.Mayport.722066_US.Normals.2006-2020.zip")</f>
        <v>https://climate.onebuilding.org/WMO_Region_4_North_and_Central_America/USA_United_States_of_America/FL_Florida/USA_FL_Jacksonville-NS.Mayport.722066_US.Normals.2006-2020.zip</v>
      </c>
    </row>
    <row r="480" spans="1:10" x14ac:dyDescent="0.25">
      <c r="A480" t="s">
        <v>35</v>
      </c>
      <c r="B480" t="s">
        <v>311</v>
      </c>
      <c r="C480" t="s">
        <v>332</v>
      </c>
      <c r="D480" s="2">
        <v>747820</v>
      </c>
      <c r="E480" t="s">
        <v>13</v>
      </c>
      <c r="F480">
        <v>30.336099999999998</v>
      </c>
      <c r="G480">
        <v>-81.514700000000005</v>
      </c>
      <c r="H480">
        <v>-5</v>
      </c>
      <c r="I480">
        <v>12.5</v>
      </c>
      <c r="J480" t="str">
        <f>HYPERLINK("https://climate.onebuilding.org/WMO_Region_4_North_and_Central_America/USA_United_States_of_America/FL_Florida/USA_FL_Jacksonville.Exec-Craig.AP.747820_US.Normals.1981-2010.zip")</f>
        <v>https://climate.onebuilding.org/WMO_Region_4_North_and_Central_America/USA_United_States_of_America/FL_Florida/USA_FL_Jacksonville.Exec-Craig.AP.747820_US.Normals.1981-2010.zip</v>
      </c>
    </row>
    <row r="481" spans="1:10" x14ac:dyDescent="0.25">
      <c r="A481" t="s">
        <v>35</v>
      </c>
      <c r="B481" t="s">
        <v>311</v>
      </c>
      <c r="C481" t="s">
        <v>332</v>
      </c>
      <c r="D481" s="2">
        <v>747820</v>
      </c>
      <c r="E481" t="s">
        <v>13</v>
      </c>
      <c r="F481">
        <v>30.336099999999998</v>
      </c>
      <c r="G481">
        <v>-81.514700000000005</v>
      </c>
      <c r="H481">
        <v>-5</v>
      </c>
      <c r="I481">
        <v>12.5</v>
      </c>
      <c r="J481" t="str">
        <f>HYPERLINK("https://climate.onebuilding.org/WMO_Region_4_North_and_Central_America/USA_United_States_of_America/FL_Florida/USA_FL_Jacksonville.Exec-Craig.AP.747820_US.Normals.2006-2020.zip")</f>
        <v>https://climate.onebuilding.org/WMO_Region_4_North_and_Central_America/USA_United_States_of_America/FL_Florida/USA_FL_Jacksonville.Exec-Craig.AP.747820_US.Normals.2006-2020.zip</v>
      </c>
    </row>
    <row r="482" spans="1:10" x14ac:dyDescent="0.25">
      <c r="A482" t="s">
        <v>35</v>
      </c>
      <c r="B482" t="s">
        <v>311</v>
      </c>
      <c r="C482" t="s">
        <v>333</v>
      </c>
      <c r="D482" s="2">
        <v>722060</v>
      </c>
      <c r="E482" t="s">
        <v>13</v>
      </c>
      <c r="F482">
        <v>30.484400000000001</v>
      </c>
      <c r="G482">
        <v>-81.701899999999995</v>
      </c>
      <c r="H482">
        <v>-5</v>
      </c>
      <c r="I482">
        <v>10.1</v>
      </c>
      <c r="J482" t="str">
        <f>HYPERLINK("https://climate.onebuilding.org/WMO_Region_4_North_and_Central_America/USA_United_States_of_America/FL_Florida/USA_FL_Jacksonville.Intl.AP.722060_US.Normals.1981-2010.zip")</f>
        <v>https://climate.onebuilding.org/WMO_Region_4_North_and_Central_America/USA_United_States_of_America/FL_Florida/USA_FL_Jacksonville.Intl.AP.722060_US.Normals.1981-2010.zip</v>
      </c>
    </row>
    <row r="483" spans="1:10" x14ac:dyDescent="0.25">
      <c r="A483" t="s">
        <v>35</v>
      </c>
      <c r="B483" t="s">
        <v>311</v>
      </c>
      <c r="C483" t="s">
        <v>333</v>
      </c>
      <c r="D483" s="2">
        <v>722060</v>
      </c>
      <c r="E483" t="s">
        <v>13</v>
      </c>
      <c r="F483">
        <v>30.484400000000001</v>
      </c>
      <c r="G483">
        <v>-81.701899999999995</v>
      </c>
      <c r="H483">
        <v>-5</v>
      </c>
      <c r="I483">
        <v>10.1</v>
      </c>
      <c r="J483" t="str">
        <f>HYPERLINK("https://climate.onebuilding.org/WMO_Region_4_North_and_Central_America/USA_United_States_of_America/FL_Florida/USA_FL_Jacksonville.Intl.AP.722060_US.Normals.1991-2020.zip")</f>
        <v>https://climate.onebuilding.org/WMO_Region_4_North_and_Central_America/USA_United_States_of_America/FL_Florida/USA_FL_Jacksonville.Intl.AP.722060_US.Normals.1991-2020.zip</v>
      </c>
    </row>
    <row r="484" spans="1:10" x14ac:dyDescent="0.25">
      <c r="A484" t="s">
        <v>35</v>
      </c>
      <c r="B484" t="s">
        <v>311</v>
      </c>
      <c r="C484" t="s">
        <v>333</v>
      </c>
      <c r="D484" s="2">
        <v>722060</v>
      </c>
      <c r="E484" t="s">
        <v>13</v>
      </c>
      <c r="F484">
        <v>30.484400000000001</v>
      </c>
      <c r="G484">
        <v>-81.701899999999995</v>
      </c>
      <c r="H484">
        <v>-5</v>
      </c>
      <c r="I484">
        <v>10.1</v>
      </c>
      <c r="J484" t="str">
        <f>HYPERLINK("https://climate.onebuilding.org/WMO_Region_4_North_and_Central_America/USA_United_States_of_America/FL_Florida/USA_FL_Jacksonville.Intl.AP.722060_US.Normals.2006-2020.zip")</f>
        <v>https://climate.onebuilding.org/WMO_Region_4_North_and_Central_America/USA_United_States_of_America/FL_Florida/USA_FL_Jacksonville.Intl.AP.722060_US.Normals.2006-2020.zip</v>
      </c>
    </row>
    <row r="485" spans="1:10" x14ac:dyDescent="0.25">
      <c r="A485" t="s">
        <v>35</v>
      </c>
      <c r="B485" t="s">
        <v>311</v>
      </c>
      <c r="C485" t="s">
        <v>334</v>
      </c>
      <c r="D485" s="2">
        <v>747660</v>
      </c>
      <c r="E485" t="s">
        <v>13</v>
      </c>
      <c r="F485">
        <v>28.6158</v>
      </c>
      <c r="G485">
        <v>-80.692800000000005</v>
      </c>
      <c r="H485">
        <v>-5</v>
      </c>
      <c r="I485">
        <v>0.9</v>
      </c>
      <c r="J485" t="str">
        <f>HYPERLINK("https://climate.onebuilding.org/WMO_Region_4_North_and_Central_America/USA_United_States_of_America/FL_Florida/USA_FL_Kennedy.Space.Center-Titusville.747660_US.Normals.2006-2020.zip")</f>
        <v>https://climate.onebuilding.org/WMO_Region_4_North_and_Central_America/USA_United_States_of_America/FL_Florida/USA_FL_Kennedy.Space.Center-Titusville.747660_US.Normals.2006-2020.zip</v>
      </c>
    </row>
    <row r="486" spans="1:10" x14ac:dyDescent="0.25">
      <c r="A486" t="s">
        <v>35</v>
      </c>
      <c r="B486" t="s">
        <v>311</v>
      </c>
      <c r="C486" t="s">
        <v>335</v>
      </c>
      <c r="D486" s="2">
        <v>722010</v>
      </c>
      <c r="E486" t="s">
        <v>13</v>
      </c>
      <c r="F486">
        <v>24.555</v>
      </c>
      <c r="G486">
        <v>-81.752200000000002</v>
      </c>
      <c r="H486">
        <v>-5</v>
      </c>
      <c r="I486">
        <v>1.2</v>
      </c>
      <c r="J486" t="str">
        <f>HYPERLINK("https://climate.onebuilding.org/WMO_Region_4_North_and_Central_America/USA_United_States_of_America/FL_Florida/USA_FL_Key.West.Intl.AP.722010_US.Normals.1981-2010.zip")</f>
        <v>https://climate.onebuilding.org/WMO_Region_4_North_and_Central_America/USA_United_States_of_America/FL_Florida/USA_FL_Key.West.Intl.AP.722010_US.Normals.1981-2010.zip</v>
      </c>
    </row>
    <row r="487" spans="1:10" x14ac:dyDescent="0.25">
      <c r="A487" t="s">
        <v>35</v>
      </c>
      <c r="B487" t="s">
        <v>311</v>
      </c>
      <c r="C487" t="s">
        <v>335</v>
      </c>
      <c r="D487" s="2">
        <v>722010</v>
      </c>
      <c r="E487" t="s">
        <v>13</v>
      </c>
      <c r="F487">
        <v>24.555</v>
      </c>
      <c r="G487">
        <v>-81.752200000000002</v>
      </c>
      <c r="H487">
        <v>-5</v>
      </c>
      <c r="I487">
        <v>1.2</v>
      </c>
      <c r="J487" t="str">
        <f>HYPERLINK("https://climate.onebuilding.org/WMO_Region_4_North_and_Central_America/USA_United_States_of_America/FL_Florida/USA_FL_Key.West.Intl.AP.722010_US.Normals.1991-2020.zip")</f>
        <v>https://climate.onebuilding.org/WMO_Region_4_North_and_Central_America/USA_United_States_of_America/FL_Florida/USA_FL_Key.West.Intl.AP.722010_US.Normals.1991-2020.zip</v>
      </c>
    </row>
    <row r="488" spans="1:10" x14ac:dyDescent="0.25">
      <c r="A488" t="s">
        <v>35</v>
      </c>
      <c r="B488" t="s">
        <v>311</v>
      </c>
      <c r="C488" t="s">
        <v>335</v>
      </c>
      <c r="D488" s="2">
        <v>722010</v>
      </c>
      <c r="E488" t="s">
        <v>13</v>
      </c>
      <c r="F488">
        <v>24.555</v>
      </c>
      <c r="G488">
        <v>-81.752200000000002</v>
      </c>
      <c r="H488">
        <v>-5</v>
      </c>
      <c r="I488">
        <v>1.2</v>
      </c>
      <c r="J488" t="str">
        <f>HYPERLINK("https://climate.onebuilding.org/WMO_Region_4_North_and_Central_America/USA_United_States_of_America/FL_Florida/USA_FL_Key.West.Intl.AP.722010_US.Normals.2006-2020.zip")</f>
        <v>https://climate.onebuilding.org/WMO_Region_4_North_and_Central_America/USA_United_States_of_America/FL_Florida/USA_FL_Key.West.Intl.AP.722010_US.Normals.2006-2020.zip</v>
      </c>
    </row>
    <row r="489" spans="1:10" x14ac:dyDescent="0.25">
      <c r="A489" t="s">
        <v>35</v>
      </c>
      <c r="B489" t="s">
        <v>311</v>
      </c>
      <c r="C489" t="s">
        <v>336</v>
      </c>
      <c r="D489" s="2">
        <v>722213</v>
      </c>
      <c r="E489" t="s">
        <v>13</v>
      </c>
      <c r="F489">
        <v>28.820799999999998</v>
      </c>
      <c r="G489">
        <v>-81.809700000000007</v>
      </c>
      <c r="H489">
        <v>-5</v>
      </c>
      <c r="I489">
        <v>23.5</v>
      </c>
      <c r="J489" t="str">
        <f>HYPERLINK("https://climate.onebuilding.org/WMO_Region_4_North_and_Central_America/USA_United_States_of_America/FL_Florida/USA_FL_Leesburg.Intl.AP.722213_US.Normals.2006-2020.zip")</f>
        <v>https://climate.onebuilding.org/WMO_Region_4_North_and_Central_America/USA_United_States_of_America/FL_Florida/USA_FL_Leesburg.Intl.AP.722213_US.Normals.2006-2020.zip</v>
      </c>
    </row>
    <row r="490" spans="1:10" x14ac:dyDescent="0.25">
      <c r="A490" t="s">
        <v>35</v>
      </c>
      <c r="B490" t="s">
        <v>311</v>
      </c>
      <c r="C490" t="s">
        <v>337</v>
      </c>
      <c r="D490" s="2">
        <v>747760</v>
      </c>
      <c r="E490" t="s">
        <v>13</v>
      </c>
      <c r="F490">
        <v>30.835599999999999</v>
      </c>
      <c r="G490">
        <v>-85.183899999999994</v>
      </c>
      <c r="H490">
        <v>-6</v>
      </c>
      <c r="I490">
        <v>34.4</v>
      </c>
      <c r="J490" t="str">
        <f>HYPERLINK("https://climate.onebuilding.org/WMO_Region_4_North_and_Central_America/USA_United_States_of_America/FL_Florida/USA_FL_Marianna.Muni.AP.747760_US.Normals.2006-2020.zip")</f>
        <v>https://climate.onebuilding.org/WMO_Region_4_North_and_Central_America/USA_United_States_of_America/FL_Florida/USA_FL_Marianna.Muni.AP.747760_US.Normals.2006-2020.zip</v>
      </c>
    </row>
    <row r="491" spans="1:10" x14ac:dyDescent="0.25">
      <c r="A491" t="s">
        <v>35</v>
      </c>
      <c r="B491" t="s">
        <v>311</v>
      </c>
      <c r="C491" t="s">
        <v>338</v>
      </c>
      <c r="D491" s="2">
        <v>722024</v>
      </c>
      <c r="E491" t="s">
        <v>13</v>
      </c>
      <c r="F491">
        <v>25.9069</v>
      </c>
      <c r="G491">
        <v>-80.280299999999997</v>
      </c>
      <c r="H491">
        <v>-5</v>
      </c>
      <c r="I491">
        <v>3</v>
      </c>
      <c r="J491" t="str">
        <f>HYPERLINK("https://climate.onebuilding.org/WMO_Region_4_North_and_Central_America/USA_United_States_of_America/FL_Florida/USA_FL_Miami-Opa.Locka.Exec.AP.722024_US.Normals.2006-2020.zip")</f>
        <v>https://climate.onebuilding.org/WMO_Region_4_North_and_Central_America/USA_United_States_of_America/FL_Florida/USA_FL_Miami-Opa.Locka.Exec.AP.722024_US.Normals.2006-2020.zip</v>
      </c>
    </row>
    <row r="492" spans="1:10" x14ac:dyDescent="0.25">
      <c r="A492" t="s">
        <v>35</v>
      </c>
      <c r="B492" t="s">
        <v>311</v>
      </c>
      <c r="C492" t="s">
        <v>339</v>
      </c>
      <c r="D492" s="2">
        <v>722029</v>
      </c>
      <c r="E492" t="s">
        <v>13</v>
      </c>
      <c r="F492">
        <v>25.647500000000001</v>
      </c>
      <c r="G492">
        <v>-80.433099999999996</v>
      </c>
      <c r="H492">
        <v>-5</v>
      </c>
      <c r="I492">
        <v>3</v>
      </c>
      <c r="J492" t="str">
        <f>HYPERLINK("https://climate.onebuilding.org/WMO_Region_4_North_and_Central_America/USA_United_States_of_America/FL_Florida/USA_FL_Miami.Exec.AP.722029_US.Normals.1981-2010.zip")</f>
        <v>https://climate.onebuilding.org/WMO_Region_4_North_and_Central_America/USA_United_States_of_America/FL_Florida/USA_FL_Miami.Exec.AP.722029_US.Normals.1981-2010.zip</v>
      </c>
    </row>
    <row r="493" spans="1:10" x14ac:dyDescent="0.25">
      <c r="A493" t="s">
        <v>35</v>
      </c>
      <c r="B493" t="s">
        <v>311</v>
      </c>
      <c r="C493" t="s">
        <v>339</v>
      </c>
      <c r="D493" s="2">
        <v>722029</v>
      </c>
      <c r="E493" t="s">
        <v>13</v>
      </c>
      <c r="F493">
        <v>25.647500000000001</v>
      </c>
      <c r="G493">
        <v>-80.433099999999996</v>
      </c>
      <c r="H493">
        <v>-5</v>
      </c>
      <c r="I493">
        <v>3</v>
      </c>
      <c r="J493" t="str">
        <f>HYPERLINK("https://climate.onebuilding.org/WMO_Region_4_North_and_Central_America/USA_United_States_of_America/FL_Florida/USA_FL_Miami.Exec.AP.722029_US.Normals.1991-2020.zip")</f>
        <v>https://climate.onebuilding.org/WMO_Region_4_North_and_Central_America/USA_United_States_of_America/FL_Florida/USA_FL_Miami.Exec.AP.722029_US.Normals.1991-2020.zip</v>
      </c>
    </row>
    <row r="494" spans="1:10" x14ac:dyDescent="0.25">
      <c r="A494" t="s">
        <v>35</v>
      </c>
      <c r="B494" t="s">
        <v>311</v>
      </c>
      <c r="C494" t="s">
        <v>339</v>
      </c>
      <c r="D494" s="2">
        <v>722029</v>
      </c>
      <c r="E494" t="s">
        <v>13</v>
      </c>
      <c r="F494">
        <v>25.647500000000001</v>
      </c>
      <c r="G494">
        <v>-80.433099999999996</v>
      </c>
      <c r="H494">
        <v>-5</v>
      </c>
      <c r="I494">
        <v>3</v>
      </c>
      <c r="J494" t="str">
        <f>HYPERLINK("https://climate.onebuilding.org/WMO_Region_4_North_and_Central_America/USA_United_States_of_America/FL_Florida/USA_FL_Miami.Exec.AP.722029_US.Normals.2006-2020.zip")</f>
        <v>https://climate.onebuilding.org/WMO_Region_4_North_and_Central_America/USA_United_States_of_America/FL_Florida/USA_FL_Miami.Exec.AP.722029_US.Normals.2006-2020.zip</v>
      </c>
    </row>
    <row r="495" spans="1:10" x14ac:dyDescent="0.25">
      <c r="A495" t="s">
        <v>35</v>
      </c>
      <c r="B495" t="s">
        <v>311</v>
      </c>
      <c r="C495" t="s">
        <v>340</v>
      </c>
      <c r="D495" s="2">
        <v>722020</v>
      </c>
      <c r="E495" t="s">
        <v>13</v>
      </c>
      <c r="F495">
        <v>25.790600000000001</v>
      </c>
      <c r="G495">
        <v>-80.316400000000002</v>
      </c>
      <c r="H495">
        <v>-5</v>
      </c>
      <c r="I495">
        <v>8.8000000000000007</v>
      </c>
      <c r="J495" t="str">
        <f>HYPERLINK("https://climate.onebuilding.org/WMO_Region_4_North_and_Central_America/USA_United_States_of_America/FL_Florida/USA_FL_Miami.Intl.AP.722020_US.Normals.1981-2010.zip")</f>
        <v>https://climate.onebuilding.org/WMO_Region_4_North_and_Central_America/USA_United_States_of_America/FL_Florida/USA_FL_Miami.Intl.AP.722020_US.Normals.1981-2010.zip</v>
      </c>
    </row>
    <row r="496" spans="1:10" x14ac:dyDescent="0.25">
      <c r="A496" t="s">
        <v>35</v>
      </c>
      <c r="B496" t="s">
        <v>311</v>
      </c>
      <c r="C496" t="s">
        <v>340</v>
      </c>
      <c r="D496" s="2">
        <v>722020</v>
      </c>
      <c r="E496" t="s">
        <v>13</v>
      </c>
      <c r="F496">
        <v>25.790600000000001</v>
      </c>
      <c r="G496">
        <v>-80.316400000000002</v>
      </c>
      <c r="H496">
        <v>-5</v>
      </c>
      <c r="I496">
        <v>8.8000000000000007</v>
      </c>
      <c r="J496" t="str">
        <f>HYPERLINK("https://climate.onebuilding.org/WMO_Region_4_North_and_Central_America/USA_United_States_of_America/FL_Florida/USA_FL_Miami.Intl.AP.722020_US.Normals.1991-2020.zip")</f>
        <v>https://climate.onebuilding.org/WMO_Region_4_North_and_Central_America/USA_United_States_of_America/FL_Florida/USA_FL_Miami.Intl.AP.722020_US.Normals.1991-2020.zip</v>
      </c>
    </row>
    <row r="497" spans="1:10" x14ac:dyDescent="0.25">
      <c r="A497" t="s">
        <v>35</v>
      </c>
      <c r="B497" t="s">
        <v>311</v>
      </c>
      <c r="C497" t="s">
        <v>340</v>
      </c>
      <c r="D497" s="2">
        <v>722020</v>
      </c>
      <c r="E497" t="s">
        <v>13</v>
      </c>
      <c r="F497">
        <v>25.790600000000001</v>
      </c>
      <c r="G497">
        <v>-80.316400000000002</v>
      </c>
      <c r="H497">
        <v>-5</v>
      </c>
      <c r="I497">
        <v>8.8000000000000007</v>
      </c>
      <c r="J497" t="str">
        <f>HYPERLINK("https://climate.onebuilding.org/WMO_Region_4_North_and_Central_America/USA_United_States_of_America/FL_Florida/USA_FL_Miami.Intl.AP.722020_US.Normals.2006-2020.zip")</f>
        <v>https://climate.onebuilding.org/WMO_Region_4_North_and_Central_America/USA_United_States_of_America/FL_Florida/USA_FL_Miami.Intl.AP.722020_US.Normals.2006-2020.zip</v>
      </c>
    </row>
    <row r="498" spans="1:10" x14ac:dyDescent="0.25">
      <c r="A498" t="s">
        <v>35</v>
      </c>
      <c r="B498" t="s">
        <v>311</v>
      </c>
      <c r="C498" t="s">
        <v>341</v>
      </c>
      <c r="D498" s="2">
        <v>722226</v>
      </c>
      <c r="E498" t="s">
        <v>13</v>
      </c>
      <c r="F498">
        <v>30.716699999999999</v>
      </c>
      <c r="G498">
        <v>-87.0167</v>
      </c>
      <c r="H498">
        <v>-6</v>
      </c>
      <c r="I498">
        <v>60.7</v>
      </c>
      <c r="J498" t="str">
        <f>HYPERLINK("https://climate.onebuilding.org/WMO_Region_4_North_and_Central_America/USA_United_States_of_America/FL_Florida/USA_FL_Milton-NAS.Whiting.Field.North.722226_US.Normals.2006-2020.zip")</f>
        <v>https://climate.onebuilding.org/WMO_Region_4_North_and_Central_America/USA_United_States_of_America/FL_Florida/USA_FL_Milton-NAS.Whiting.Field.North.722226_US.Normals.2006-2020.zip</v>
      </c>
    </row>
    <row r="499" spans="1:10" x14ac:dyDescent="0.25">
      <c r="A499" t="s">
        <v>35</v>
      </c>
      <c r="B499" t="s">
        <v>311</v>
      </c>
      <c r="C499" t="s">
        <v>342</v>
      </c>
      <c r="D499" s="2">
        <v>720383</v>
      </c>
      <c r="E499" t="s">
        <v>13</v>
      </c>
      <c r="F499">
        <v>30.7044</v>
      </c>
      <c r="G499">
        <v>-87.023099999999999</v>
      </c>
      <c r="H499">
        <v>-6</v>
      </c>
      <c r="I499">
        <v>54.3</v>
      </c>
      <c r="J499" t="str">
        <f>HYPERLINK("https://climate.onebuilding.org/WMO_Region_4_North_and_Central_America/USA_United_States_of_America/FL_Florida/USA_FL_Milton-NAS.Whiting.Field.South.720383_US.Normals.2006-2020.zip")</f>
        <v>https://climate.onebuilding.org/WMO_Region_4_North_and_Central_America/USA_United_States_of_America/FL_Florida/USA_FL_Milton-NAS.Whiting.Field.South.720383_US.Normals.2006-2020.zip</v>
      </c>
    </row>
    <row r="500" spans="1:10" x14ac:dyDescent="0.25">
      <c r="A500" t="s">
        <v>35</v>
      </c>
      <c r="B500" t="s">
        <v>311</v>
      </c>
      <c r="C500" t="s">
        <v>343</v>
      </c>
      <c r="D500" s="2">
        <v>722038</v>
      </c>
      <c r="E500" t="s">
        <v>13</v>
      </c>
      <c r="F500">
        <v>26.152200000000001</v>
      </c>
      <c r="G500">
        <v>-81.775300000000001</v>
      </c>
      <c r="H500">
        <v>-5</v>
      </c>
      <c r="I500">
        <v>2.7</v>
      </c>
      <c r="J500" t="str">
        <f>HYPERLINK("https://climate.onebuilding.org/WMO_Region_4_North_and_Central_America/USA_United_States_of_America/FL_Florida/USA_FL_Naples.Muni.AP.722038_US.Normals.2006-2020.zip")</f>
        <v>https://climate.onebuilding.org/WMO_Region_4_North_and_Central_America/USA_United_States_of_America/FL_Florida/USA_FL_Naples.Muni.AP.722038_US.Normals.2006-2020.zip</v>
      </c>
    </row>
    <row r="501" spans="1:10" x14ac:dyDescent="0.25">
      <c r="A501" t="s">
        <v>35</v>
      </c>
      <c r="B501" t="s">
        <v>311</v>
      </c>
      <c r="C501" t="s">
        <v>344</v>
      </c>
      <c r="D501" s="2">
        <v>722065</v>
      </c>
      <c r="E501" t="s">
        <v>13</v>
      </c>
      <c r="F501">
        <v>30.2333</v>
      </c>
      <c r="G501">
        <v>-81.666700000000006</v>
      </c>
      <c r="H501">
        <v>-5</v>
      </c>
      <c r="I501">
        <v>6.1</v>
      </c>
      <c r="J501" t="str">
        <f>HYPERLINK("https://climate.onebuilding.org/WMO_Region_4_North_and_Central_America/USA_United_States_of_America/FL_Florida/USA_FL_NAS.Jacksonville-Towers.Field.722065_US.Normals.1981-2010.zip")</f>
        <v>https://climate.onebuilding.org/WMO_Region_4_North_and_Central_America/USA_United_States_of_America/FL_Florida/USA_FL_NAS.Jacksonville-Towers.Field.722065_US.Normals.1981-2010.zip</v>
      </c>
    </row>
    <row r="502" spans="1:10" x14ac:dyDescent="0.25">
      <c r="A502" t="s">
        <v>35</v>
      </c>
      <c r="B502" t="s">
        <v>311</v>
      </c>
      <c r="C502" t="s">
        <v>344</v>
      </c>
      <c r="D502" s="2">
        <v>722065</v>
      </c>
      <c r="E502" t="s">
        <v>13</v>
      </c>
      <c r="F502">
        <v>30.2333</v>
      </c>
      <c r="G502">
        <v>-81.666700000000006</v>
      </c>
      <c r="H502">
        <v>-5</v>
      </c>
      <c r="I502">
        <v>6.1</v>
      </c>
      <c r="J502" t="str">
        <f>HYPERLINK("https://climate.onebuilding.org/WMO_Region_4_North_and_Central_America/USA_United_States_of_America/FL_Florida/USA_FL_NAS.Jacksonville-Towers.Field.722065_US.Normals.1991-2020.zip")</f>
        <v>https://climate.onebuilding.org/WMO_Region_4_North_and_Central_America/USA_United_States_of_America/FL_Florida/USA_FL_NAS.Jacksonville-Towers.Field.722065_US.Normals.1991-2020.zip</v>
      </c>
    </row>
    <row r="503" spans="1:10" x14ac:dyDescent="0.25">
      <c r="A503" t="s">
        <v>35</v>
      </c>
      <c r="B503" t="s">
        <v>311</v>
      </c>
      <c r="C503" t="s">
        <v>344</v>
      </c>
      <c r="D503" s="2">
        <v>722065</v>
      </c>
      <c r="E503" t="s">
        <v>13</v>
      </c>
      <c r="F503">
        <v>30.2333</v>
      </c>
      <c r="G503">
        <v>-81.666700000000006</v>
      </c>
      <c r="H503">
        <v>-5</v>
      </c>
      <c r="I503">
        <v>6.1</v>
      </c>
      <c r="J503" t="str">
        <f>HYPERLINK("https://climate.onebuilding.org/WMO_Region_4_North_and_Central_America/USA_United_States_of_America/FL_Florida/USA_FL_NAS.Jacksonville-Towers.Field.722065_US.Normals.2006-2020.zip")</f>
        <v>https://climate.onebuilding.org/WMO_Region_4_North_and_Central_America/USA_United_States_of_America/FL_Florida/USA_FL_NAS.Jacksonville-Towers.Field.722065_US.Normals.2006-2020.zip</v>
      </c>
    </row>
    <row r="504" spans="1:10" x14ac:dyDescent="0.25">
      <c r="A504" t="s">
        <v>35</v>
      </c>
      <c r="B504" t="s">
        <v>311</v>
      </c>
      <c r="C504" t="s">
        <v>345</v>
      </c>
      <c r="D504" s="2">
        <v>722015</v>
      </c>
      <c r="E504" t="s">
        <v>13</v>
      </c>
      <c r="F504">
        <v>24.583300000000001</v>
      </c>
      <c r="G504">
        <v>-81.683300000000003</v>
      </c>
      <c r="H504">
        <v>-5</v>
      </c>
      <c r="I504">
        <v>1.8</v>
      </c>
      <c r="J504" t="str">
        <f>HYPERLINK("https://climate.onebuilding.org/WMO_Region_4_North_and_Central_America/USA_United_States_of_America/FL_Florida/USA_FL_NAS.Key.West.722015_US.Normals.1981-2010.zip")</f>
        <v>https://climate.onebuilding.org/WMO_Region_4_North_and_Central_America/USA_United_States_of_America/FL_Florida/USA_FL_NAS.Key.West.722015_US.Normals.1981-2010.zip</v>
      </c>
    </row>
    <row r="505" spans="1:10" x14ac:dyDescent="0.25">
      <c r="A505" t="s">
        <v>35</v>
      </c>
      <c r="B505" t="s">
        <v>311</v>
      </c>
      <c r="C505" t="s">
        <v>345</v>
      </c>
      <c r="D505" s="2">
        <v>722015</v>
      </c>
      <c r="E505" t="s">
        <v>13</v>
      </c>
      <c r="F505">
        <v>24.583300000000001</v>
      </c>
      <c r="G505">
        <v>-81.683300000000003</v>
      </c>
      <c r="H505">
        <v>-5</v>
      </c>
      <c r="I505">
        <v>1.8</v>
      </c>
      <c r="J505" t="str">
        <f>HYPERLINK("https://climate.onebuilding.org/WMO_Region_4_North_and_Central_America/USA_United_States_of_America/FL_Florida/USA_FL_NAS.Key.West.722015_US.Normals.1991-2020.zip")</f>
        <v>https://climate.onebuilding.org/WMO_Region_4_North_and_Central_America/USA_United_States_of_America/FL_Florida/USA_FL_NAS.Key.West.722015_US.Normals.1991-2020.zip</v>
      </c>
    </row>
    <row r="506" spans="1:10" x14ac:dyDescent="0.25">
      <c r="A506" t="s">
        <v>35</v>
      </c>
      <c r="B506" t="s">
        <v>311</v>
      </c>
      <c r="C506" t="s">
        <v>345</v>
      </c>
      <c r="D506" s="2">
        <v>722015</v>
      </c>
      <c r="E506" t="s">
        <v>13</v>
      </c>
      <c r="F506">
        <v>24.583300000000001</v>
      </c>
      <c r="G506">
        <v>-81.683300000000003</v>
      </c>
      <c r="H506">
        <v>-5</v>
      </c>
      <c r="I506">
        <v>1.8</v>
      </c>
      <c r="J506" t="str">
        <f>HYPERLINK("https://climate.onebuilding.org/WMO_Region_4_North_and_Central_America/USA_United_States_of_America/FL_Florida/USA_FL_NAS.Key.West.722015_US.Normals.2006-2020.zip")</f>
        <v>https://climate.onebuilding.org/WMO_Region_4_North_and_Central_America/USA_United_States_of_America/FL_Florida/USA_FL_NAS.Key.West.722015_US.Normals.2006-2020.zip</v>
      </c>
    </row>
    <row r="507" spans="1:10" x14ac:dyDescent="0.25">
      <c r="A507" t="s">
        <v>35</v>
      </c>
      <c r="B507" t="s">
        <v>311</v>
      </c>
      <c r="C507" t="s">
        <v>346</v>
      </c>
      <c r="D507" s="2">
        <v>722225</v>
      </c>
      <c r="E507" t="s">
        <v>13</v>
      </c>
      <c r="F507">
        <v>30.35</v>
      </c>
      <c r="G507">
        <v>-87.316699999999997</v>
      </c>
      <c r="H507">
        <v>-6</v>
      </c>
      <c r="I507">
        <v>8.5</v>
      </c>
      <c r="J507" t="str">
        <f>HYPERLINK("https://climate.onebuilding.org/WMO_Region_4_North_and_Central_America/USA_United_States_of_America/FL_Florida/USA_FL_NAS.Pensacola-Sherman.Field.722225_US.Normals.1981-2010.zip")</f>
        <v>https://climate.onebuilding.org/WMO_Region_4_North_and_Central_America/USA_United_States_of_America/FL_Florida/USA_FL_NAS.Pensacola-Sherman.Field.722225_US.Normals.1981-2010.zip</v>
      </c>
    </row>
    <row r="508" spans="1:10" x14ac:dyDescent="0.25">
      <c r="A508" t="s">
        <v>35</v>
      </c>
      <c r="B508" t="s">
        <v>311</v>
      </c>
      <c r="C508" t="s">
        <v>346</v>
      </c>
      <c r="D508" s="2">
        <v>722225</v>
      </c>
      <c r="E508" t="s">
        <v>13</v>
      </c>
      <c r="F508">
        <v>30.35</v>
      </c>
      <c r="G508">
        <v>-87.316699999999997</v>
      </c>
      <c r="H508">
        <v>-6</v>
      </c>
      <c r="I508">
        <v>8.5</v>
      </c>
      <c r="J508" t="str">
        <f>HYPERLINK("https://climate.onebuilding.org/WMO_Region_4_North_and_Central_America/USA_United_States_of_America/FL_Florida/USA_FL_NAS.Pensacola-Sherman.Field.722225_US.Normals.1991-2020.zip")</f>
        <v>https://climate.onebuilding.org/WMO_Region_4_North_and_Central_America/USA_United_States_of_America/FL_Florida/USA_FL_NAS.Pensacola-Sherman.Field.722225_US.Normals.1991-2020.zip</v>
      </c>
    </row>
    <row r="509" spans="1:10" x14ac:dyDescent="0.25">
      <c r="A509" t="s">
        <v>35</v>
      </c>
      <c r="B509" t="s">
        <v>311</v>
      </c>
      <c r="C509" t="s">
        <v>346</v>
      </c>
      <c r="D509" s="2">
        <v>722225</v>
      </c>
      <c r="E509" t="s">
        <v>13</v>
      </c>
      <c r="F509">
        <v>30.35</v>
      </c>
      <c r="G509">
        <v>-87.316699999999997</v>
      </c>
      <c r="H509">
        <v>-6</v>
      </c>
      <c r="I509">
        <v>8.5</v>
      </c>
      <c r="J509" t="str">
        <f>HYPERLINK("https://climate.onebuilding.org/WMO_Region_4_North_and_Central_America/USA_United_States_of_America/FL_Florida/USA_FL_NAS.Pensacola-Sherman.Field.722225_US.Normals.2006-2020.zip")</f>
        <v>https://climate.onebuilding.org/WMO_Region_4_North_and_Central_America/USA_United_States_of_America/FL_Florida/USA_FL_NAS.Pensacola-Sherman.Field.722225_US.Normals.2006-2020.zip</v>
      </c>
    </row>
    <row r="510" spans="1:10" x14ac:dyDescent="0.25">
      <c r="A510" t="s">
        <v>35</v>
      </c>
      <c r="B510" t="s">
        <v>311</v>
      </c>
      <c r="C510" t="s">
        <v>347</v>
      </c>
      <c r="D510" s="2">
        <v>722053</v>
      </c>
      <c r="E510" t="s">
        <v>13</v>
      </c>
      <c r="F510">
        <v>28.545300000000001</v>
      </c>
      <c r="G510">
        <v>-81.333100000000002</v>
      </c>
      <c r="H510">
        <v>-5</v>
      </c>
      <c r="I510">
        <v>32.9</v>
      </c>
      <c r="J510" t="str">
        <f>HYPERLINK("https://climate.onebuilding.org/WMO_Region_4_North_and_Central_America/USA_United_States_of_America/FL_Florida/USA_FL_Orlando.Exec.AP.722053_US.Normals.1991-2020.zip")</f>
        <v>https://climate.onebuilding.org/WMO_Region_4_North_and_Central_America/USA_United_States_of_America/FL_Florida/USA_FL_Orlando.Exec.AP.722053_US.Normals.1991-2020.zip</v>
      </c>
    </row>
    <row r="511" spans="1:10" x14ac:dyDescent="0.25">
      <c r="A511" t="s">
        <v>35</v>
      </c>
      <c r="B511" t="s">
        <v>311</v>
      </c>
      <c r="C511" t="s">
        <v>347</v>
      </c>
      <c r="D511" s="2">
        <v>722053</v>
      </c>
      <c r="E511" t="s">
        <v>13</v>
      </c>
      <c r="F511">
        <v>28.545300000000001</v>
      </c>
      <c r="G511">
        <v>-81.333100000000002</v>
      </c>
      <c r="H511">
        <v>-5</v>
      </c>
      <c r="I511">
        <v>32.9</v>
      </c>
      <c r="J511" t="str">
        <f>HYPERLINK("https://climate.onebuilding.org/WMO_Region_4_North_and_Central_America/USA_United_States_of_America/FL_Florida/USA_FL_Orlando.Exec.AP.722053_US.Normals.2006-2020.zip")</f>
        <v>https://climate.onebuilding.org/WMO_Region_4_North_and_Central_America/USA_United_States_of_America/FL_Florida/USA_FL_Orlando.Exec.AP.722053_US.Normals.2006-2020.zip</v>
      </c>
    </row>
    <row r="512" spans="1:10" x14ac:dyDescent="0.25">
      <c r="A512" t="s">
        <v>35</v>
      </c>
      <c r="B512" t="s">
        <v>311</v>
      </c>
      <c r="C512" t="s">
        <v>348</v>
      </c>
      <c r="D512" s="2">
        <v>722050</v>
      </c>
      <c r="E512" t="s">
        <v>13</v>
      </c>
      <c r="F512">
        <v>28.433900000000001</v>
      </c>
      <c r="G512">
        <v>-81.325000000000003</v>
      </c>
      <c r="H512">
        <v>-5</v>
      </c>
      <c r="I512">
        <v>27.4</v>
      </c>
      <c r="J512" t="str">
        <f>HYPERLINK("https://climate.onebuilding.org/WMO_Region_4_North_and_Central_America/USA_United_States_of_America/FL_Florida/USA_FL_Orlando.Intl.AP.722050_US.Normals.1981-2010.zip")</f>
        <v>https://climate.onebuilding.org/WMO_Region_4_North_and_Central_America/USA_United_States_of_America/FL_Florida/USA_FL_Orlando.Intl.AP.722050_US.Normals.1981-2010.zip</v>
      </c>
    </row>
    <row r="513" spans="1:10" x14ac:dyDescent="0.25">
      <c r="A513" t="s">
        <v>35</v>
      </c>
      <c r="B513" t="s">
        <v>311</v>
      </c>
      <c r="C513" t="s">
        <v>348</v>
      </c>
      <c r="D513" s="2">
        <v>722050</v>
      </c>
      <c r="E513" t="s">
        <v>13</v>
      </c>
      <c r="F513">
        <v>28.433900000000001</v>
      </c>
      <c r="G513">
        <v>-81.325000000000003</v>
      </c>
      <c r="H513">
        <v>-5</v>
      </c>
      <c r="I513">
        <v>27.4</v>
      </c>
      <c r="J513" t="str">
        <f>HYPERLINK("https://climate.onebuilding.org/WMO_Region_4_North_and_Central_America/USA_United_States_of_America/FL_Florida/USA_FL_Orlando.Intl.AP.722050_US.Normals.1991-2020.zip")</f>
        <v>https://climate.onebuilding.org/WMO_Region_4_North_and_Central_America/USA_United_States_of_America/FL_Florida/USA_FL_Orlando.Intl.AP.722050_US.Normals.1991-2020.zip</v>
      </c>
    </row>
    <row r="514" spans="1:10" x14ac:dyDescent="0.25">
      <c r="A514" t="s">
        <v>35</v>
      </c>
      <c r="B514" t="s">
        <v>311</v>
      </c>
      <c r="C514" t="s">
        <v>348</v>
      </c>
      <c r="D514" s="2">
        <v>722050</v>
      </c>
      <c r="E514" t="s">
        <v>13</v>
      </c>
      <c r="F514">
        <v>28.433900000000001</v>
      </c>
      <c r="G514">
        <v>-81.325000000000003</v>
      </c>
      <c r="H514">
        <v>-5</v>
      </c>
      <c r="I514">
        <v>27.4</v>
      </c>
      <c r="J514" t="str">
        <f>HYPERLINK("https://climate.onebuilding.org/WMO_Region_4_North_and_Central_America/USA_United_States_of_America/FL_Florida/USA_FL_Orlando.Intl.AP.722050_US.Normals.2006-2020.zip")</f>
        <v>https://climate.onebuilding.org/WMO_Region_4_North_and_Central_America/USA_United_States_of_America/FL_Florida/USA_FL_Orlando.Intl.AP.722050_US.Normals.2006-2020.zip</v>
      </c>
    </row>
    <row r="515" spans="1:10" x14ac:dyDescent="0.25">
      <c r="A515" t="s">
        <v>35</v>
      </c>
      <c r="B515" t="s">
        <v>311</v>
      </c>
      <c r="C515" t="s">
        <v>349</v>
      </c>
      <c r="D515" s="2">
        <v>722040</v>
      </c>
      <c r="E515" t="s">
        <v>13</v>
      </c>
      <c r="F515">
        <v>28.101099999999999</v>
      </c>
      <c r="G515">
        <v>-80.643900000000002</v>
      </c>
      <c r="H515">
        <v>-5</v>
      </c>
      <c r="I515">
        <v>8.1999999999999993</v>
      </c>
      <c r="J515" t="str">
        <f>HYPERLINK("https://climate.onebuilding.org/WMO_Region_4_North_and_Central_America/USA_United_States_of_America/FL_Florida/USA_FL_Orlando.Melbourne.Intl.AP.722040_US.Normals.1981-2010.zip")</f>
        <v>https://climate.onebuilding.org/WMO_Region_4_North_and_Central_America/USA_United_States_of_America/FL_Florida/USA_FL_Orlando.Melbourne.Intl.AP.722040_US.Normals.1981-2010.zip</v>
      </c>
    </row>
    <row r="516" spans="1:10" x14ac:dyDescent="0.25">
      <c r="A516" t="s">
        <v>35</v>
      </c>
      <c r="B516" t="s">
        <v>311</v>
      </c>
      <c r="C516" t="s">
        <v>349</v>
      </c>
      <c r="D516" s="2">
        <v>722040</v>
      </c>
      <c r="E516" t="s">
        <v>13</v>
      </c>
      <c r="F516">
        <v>28.101099999999999</v>
      </c>
      <c r="G516">
        <v>-80.643900000000002</v>
      </c>
      <c r="H516">
        <v>-5</v>
      </c>
      <c r="I516">
        <v>8.1999999999999993</v>
      </c>
      <c r="J516" t="str">
        <f>HYPERLINK("https://climate.onebuilding.org/WMO_Region_4_North_and_Central_America/USA_United_States_of_America/FL_Florida/USA_FL_Orlando.Melbourne.Intl.AP.722040_US.Normals.1991-2020.zip")</f>
        <v>https://climate.onebuilding.org/WMO_Region_4_North_and_Central_America/USA_United_States_of_America/FL_Florida/USA_FL_Orlando.Melbourne.Intl.AP.722040_US.Normals.1991-2020.zip</v>
      </c>
    </row>
    <row r="517" spans="1:10" x14ac:dyDescent="0.25">
      <c r="A517" t="s">
        <v>35</v>
      </c>
      <c r="B517" t="s">
        <v>311</v>
      </c>
      <c r="C517" t="s">
        <v>349</v>
      </c>
      <c r="D517" s="2">
        <v>722040</v>
      </c>
      <c r="E517" t="s">
        <v>13</v>
      </c>
      <c r="F517">
        <v>28.101099999999999</v>
      </c>
      <c r="G517">
        <v>-80.643900000000002</v>
      </c>
      <c r="H517">
        <v>-5</v>
      </c>
      <c r="I517">
        <v>8.1999999999999993</v>
      </c>
      <c r="J517" t="str">
        <f>HYPERLINK("https://climate.onebuilding.org/WMO_Region_4_North_and_Central_America/USA_United_States_of_America/FL_Florida/USA_FL_Orlando.Melbourne.Intl.AP.722040_US.Normals.2006-2020.zip")</f>
        <v>https://climate.onebuilding.org/WMO_Region_4_North_and_Central_America/USA_United_States_of_America/FL_Florida/USA_FL_Orlando.Melbourne.Intl.AP.722040_US.Normals.2006-2020.zip</v>
      </c>
    </row>
    <row r="518" spans="1:10" x14ac:dyDescent="0.25">
      <c r="A518" t="s">
        <v>35</v>
      </c>
      <c r="B518" t="s">
        <v>311</v>
      </c>
      <c r="C518" t="s">
        <v>350</v>
      </c>
      <c r="D518" s="2">
        <v>722057</v>
      </c>
      <c r="E518" t="s">
        <v>13</v>
      </c>
      <c r="F518">
        <v>28.779699999999998</v>
      </c>
      <c r="G518">
        <v>-81.243600000000001</v>
      </c>
      <c r="H518">
        <v>-5</v>
      </c>
      <c r="I518">
        <v>16.8</v>
      </c>
      <c r="J518" t="str">
        <f>HYPERLINK("https://climate.onebuilding.org/WMO_Region_4_North_and_Central_America/USA_United_States_of_America/FL_Florida/USA_FL_Orlando.Sanford.Intl.AP.722057_US.Normals.1991-2020.zip")</f>
        <v>https://climate.onebuilding.org/WMO_Region_4_North_and_Central_America/USA_United_States_of_America/FL_Florida/USA_FL_Orlando.Sanford.Intl.AP.722057_US.Normals.1991-2020.zip</v>
      </c>
    </row>
    <row r="519" spans="1:10" x14ac:dyDescent="0.25">
      <c r="A519" t="s">
        <v>35</v>
      </c>
      <c r="B519" t="s">
        <v>311</v>
      </c>
      <c r="C519" t="s">
        <v>350</v>
      </c>
      <c r="D519" s="2">
        <v>722057</v>
      </c>
      <c r="E519" t="s">
        <v>13</v>
      </c>
      <c r="F519">
        <v>28.779699999999998</v>
      </c>
      <c r="G519">
        <v>-81.243600000000001</v>
      </c>
      <c r="H519">
        <v>-5</v>
      </c>
      <c r="I519">
        <v>16.8</v>
      </c>
      <c r="J519" t="str">
        <f>HYPERLINK("https://climate.onebuilding.org/WMO_Region_4_North_and_Central_America/USA_United_States_of_America/FL_Florida/USA_FL_Orlando.Sanford.Intl.AP.722057_US.Normals.2006-2020.zip")</f>
        <v>https://climate.onebuilding.org/WMO_Region_4_North_and_Central_America/USA_United_States_of_America/FL_Florida/USA_FL_Orlando.Sanford.Intl.AP.722057_US.Normals.2006-2020.zip</v>
      </c>
    </row>
    <row r="520" spans="1:10" x14ac:dyDescent="0.25">
      <c r="A520" t="s">
        <v>35</v>
      </c>
      <c r="B520" t="s">
        <v>311</v>
      </c>
      <c r="C520" t="s">
        <v>351</v>
      </c>
      <c r="D520" s="2">
        <v>722030</v>
      </c>
      <c r="E520" t="s">
        <v>13</v>
      </c>
      <c r="F520">
        <v>26.684699999999999</v>
      </c>
      <c r="G520">
        <v>-80.099400000000003</v>
      </c>
      <c r="H520">
        <v>-5</v>
      </c>
      <c r="I520">
        <v>5.8</v>
      </c>
      <c r="J520" t="str">
        <f>HYPERLINK("https://climate.onebuilding.org/WMO_Region_4_North_and_Central_America/USA_United_States_of_America/FL_Florida/USA_FL_Palm.Beach.Intl.AP.722030_US.Normals.1981-2010.zip")</f>
        <v>https://climate.onebuilding.org/WMO_Region_4_North_and_Central_America/USA_United_States_of_America/FL_Florida/USA_FL_Palm.Beach.Intl.AP.722030_US.Normals.1981-2010.zip</v>
      </c>
    </row>
    <row r="521" spans="1:10" x14ac:dyDescent="0.25">
      <c r="A521" t="s">
        <v>35</v>
      </c>
      <c r="B521" t="s">
        <v>311</v>
      </c>
      <c r="C521" t="s">
        <v>351</v>
      </c>
      <c r="D521" s="2">
        <v>722030</v>
      </c>
      <c r="E521" t="s">
        <v>13</v>
      </c>
      <c r="F521">
        <v>26.684699999999999</v>
      </c>
      <c r="G521">
        <v>-80.099400000000003</v>
      </c>
      <c r="H521">
        <v>-5</v>
      </c>
      <c r="I521">
        <v>5.8</v>
      </c>
      <c r="J521" t="str">
        <f>HYPERLINK("https://climate.onebuilding.org/WMO_Region_4_North_and_Central_America/USA_United_States_of_America/FL_Florida/USA_FL_Palm.Beach.Intl.AP.722030_US.Normals.1991-2020.zip")</f>
        <v>https://climate.onebuilding.org/WMO_Region_4_North_and_Central_America/USA_United_States_of_America/FL_Florida/USA_FL_Palm.Beach.Intl.AP.722030_US.Normals.1991-2020.zip</v>
      </c>
    </row>
    <row r="522" spans="1:10" x14ac:dyDescent="0.25">
      <c r="A522" t="s">
        <v>35</v>
      </c>
      <c r="B522" t="s">
        <v>311</v>
      </c>
      <c r="C522" t="s">
        <v>351</v>
      </c>
      <c r="D522" s="2">
        <v>722030</v>
      </c>
      <c r="E522" t="s">
        <v>13</v>
      </c>
      <c r="F522">
        <v>26.684699999999999</v>
      </c>
      <c r="G522">
        <v>-80.099400000000003</v>
      </c>
      <c r="H522">
        <v>-5</v>
      </c>
      <c r="I522">
        <v>5.8</v>
      </c>
      <c r="J522" t="str">
        <f>HYPERLINK("https://climate.onebuilding.org/WMO_Region_4_North_and_Central_America/USA_United_States_of_America/FL_Florida/USA_FL_Palm.Beach.Intl.AP.722030_US.Normals.2006-2020.zip")</f>
        <v>https://climate.onebuilding.org/WMO_Region_4_North_and_Central_America/USA_United_States_of_America/FL_Florida/USA_FL_Palm.Beach.Intl.AP.722030_US.Normals.2006-2020.zip</v>
      </c>
    </row>
    <row r="523" spans="1:10" x14ac:dyDescent="0.25">
      <c r="A523" t="s">
        <v>35</v>
      </c>
      <c r="B523" t="s">
        <v>311</v>
      </c>
      <c r="C523" t="s">
        <v>352</v>
      </c>
      <c r="D523" s="2">
        <v>747750</v>
      </c>
      <c r="E523" t="s">
        <v>13</v>
      </c>
      <c r="F523">
        <v>30.066700000000001</v>
      </c>
      <c r="G523">
        <v>-85.583299999999994</v>
      </c>
      <c r="H523">
        <v>-6</v>
      </c>
      <c r="I523">
        <v>7</v>
      </c>
      <c r="J523" t="str">
        <f>HYPERLINK("https://climate.onebuilding.org/WMO_Region_4_North_and_Central_America/USA_United_States_of_America/FL_Florida/USA_FL_Panama.City-Tyndall.AFB.747750_US.Normals.1981-2010.zip")</f>
        <v>https://climate.onebuilding.org/WMO_Region_4_North_and_Central_America/USA_United_States_of_America/FL_Florida/USA_FL_Panama.City-Tyndall.AFB.747750_US.Normals.1981-2010.zip</v>
      </c>
    </row>
    <row r="524" spans="1:10" x14ac:dyDescent="0.25">
      <c r="A524" t="s">
        <v>35</v>
      </c>
      <c r="B524" t="s">
        <v>311</v>
      </c>
      <c r="C524" t="s">
        <v>352</v>
      </c>
      <c r="D524" s="2">
        <v>747750</v>
      </c>
      <c r="E524" t="s">
        <v>13</v>
      </c>
      <c r="F524">
        <v>30.066700000000001</v>
      </c>
      <c r="G524">
        <v>-85.583299999999994</v>
      </c>
      <c r="H524">
        <v>-6</v>
      </c>
      <c r="I524">
        <v>7</v>
      </c>
      <c r="J524" t="str">
        <f>HYPERLINK("https://climate.onebuilding.org/WMO_Region_4_North_and_Central_America/USA_United_States_of_America/FL_Florida/USA_FL_Panama.City-Tyndall.AFB.747750_US.Normals.1991-2020.zip")</f>
        <v>https://climate.onebuilding.org/WMO_Region_4_North_and_Central_America/USA_United_States_of_America/FL_Florida/USA_FL_Panama.City-Tyndall.AFB.747750_US.Normals.1991-2020.zip</v>
      </c>
    </row>
    <row r="525" spans="1:10" x14ac:dyDescent="0.25">
      <c r="A525" t="s">
        <v>35</v>
      </c>
      <c r="B525" t="s">
        <v>311</v>
      </c>
      <c r="C525" t="s">
        <v>352</v>
      </c>
      <c r="D525" s="2">
        <v>747750</v>
      </c>
      <c r="E525" t="s">
        <v>13</v>
      </c>
      <c r="F525">
        <v>30.066700000000001</v>
      </c>
      <c r="G525">
        <v>-85.583299999999994</v>
      </c>
      <c r="H525">
        <v>-6</v>
      </c>
      <c r="I525">
        <v>7</v>
      </c>
      <c r="J525" t="str">
        <f>HYPERLINK("https://climate.onebuilding.org/WMO_Region_4_North_and_Central_America/USA_United_States_of_America/FL_Florida/USA_FL_Panama.City-Tyndall.AFB.747750_US.Normals.2006-2020.zip")</f>
        <v>https://climate.onebuilding.org/WMO_Region_4_North_and_Central_America/USA_United_States_of_America/FL_Florida/USA_FL_Panama.City-Tyndall.AFB.747750_US.Normals.2006-2020.zip</v>
      </c>
    </row>
    <row r="526" spans="1:10" x14ac:dyDescent="0.25">
      <c r="A526" t="s">
        <v>35</v>
      </c>
      <c r="B526" t="s">
        <v>311</v>
      </c>
      <c r="C526" t="s">
        <v>353</v>
      </c>
      <c r="D526" s="2">
        <v>747950</v>
      </c>
      <c r="E526" t="s">
        <v>13</v>
      </c>
      <c r="F526">
        <v>28.2333</v>
      </c>
      <c r="G526">
        <v>-80.599999999999994</v>
      </c>
      <c r="H526">
        <v>-5</v>
      </c>
      <c r="I526">
        <v>3</v>
      </c>
      <c r="J526" t="str">
        <f>HYPERLINK("https://climate.onebuilding.org/WMO_Region_4_North_and_Central_America/USA_United_States_of_America/FL_Florida/USA_FL_Patrick.AFB.747950_US.Normals.2006-2020.zip")</f>
        <v>https://climate.onebuilding.org/WMO_Region_4_North_and_Central_America/USA_United_States_of_America/FL_Florida/USA_FL_Patrick.AFB.747950_US.Normals.2006-2020.zip</v>
      </c>
    </row>
    <row r="527" spans="1:10" x14ac:dyDescent="0.25">
      <c r="A527" t="s">
        <v>35</v>
      </c>
      <c r="B527" t="s">
        <v>311</v>
      </c>
      <c r="C527" t="s">
        <v>354</v>
      </c>
      <c r="D527" s="2">
        <v>722037</v>
      </c>
      <c r="E527" t="s">
        <v>13</v>
      </c>
      <c r="F527">
        <v>25.998899999999999</v>
      </c>
      <c r="G527">
        <v>-80.241100000000003</v>
      </c>
      <c r="H527">
        <v>-5</v>
      </c>
      <c r="I527">
        <v>2.7</v>
      </c>
      <c r="J527" t="str">
        <f>HYPERLINK("https://climate.onebuilding.org/WMO_Region_4_North_and_Central_America/USA_United_States_of_America/FL_Florida/USA_FL_Pembroke.Pines-North.Perry.AP.722037_US.Normals.2006-2020.zip")</f>
        <v>https://climate.onebuilding.org/WMO_Region_4_North_and_Central_America/USA_United_States_of_America/FL_Florida/USA_FL_Pembroke.Pines-North.Perry.AP.722037_US.Normals.2006-2020.zip</v>
      </c>
    </row>
    <row r="528" spans="1:10" x14ac:dyDescent="0.25">
      <c r="A528" t="s">
        <v>35</v>
      </c>
      <c r="B528" t="s">
        <v>311</v>
      </c>
      <c r="C528" t="s">
        <v>355</v>
      </c>
      <c r="D528" s="2">
        <v>722220</v>
      </c>
      <c r="E528" t="s">
        <v>13</v>
      </c>
      <c r="F528">
        <v>30.478100000000001</v>
      </c>
      <c r="G528">
        <v>-87.186899999999994</v>
      </c>
      <c r="H528">
        <v>-6</v>
      </c>
      <c r="I528">
        <v>34.1</v>
      </c>
      <c r="J528" t="str">
        <f>HYPERLINK("https://climate.onebuilding.org/WMO_Region_4_North_and_Central_America/USA_United_States_of_America/FL_Florida/USA_FL_Pensacola.Intl.AP.722220_US.Normals.1981-2010.zip")</f>
        <v>https://climate.onebuilding.org/WMO_Region_4_North_and_Central_America/USA_United_States_of_America/FL_Florida/USA_FL_Pensacola.Intl.AP.722220_US.Normals.1981-2010.zip</v>
      </c>
    </row>
    <row r="529" spans="1:10" x14ac:dyDescent="0.25">
      <c r="A529" t="s">
        <v>35</v>
      </c>
      <c r="B529" t="s">
        <v>311</v>
      </c>
      <c r="C529" t="s">
        <v>355</v>
      </c>
      <c r="D529" s="2">
        <v>722220</v>
      </c>
      <c r="E529" t="s">
        <v>13</v>
      </c>
      <c r="F529">
        <v>30.478100000000001</v>
      </c>
      <c r="G529">
        <v>-87.186899999999994</v>
      </c>
      <c r="H529">
        <v>-6</v>
      </c>
      <c r="I529">
        <v>34.1</v>
      </c>
      <c r="J529" t="str">
        <f>HYPERLINK("https://climate.onebuilding.org/WMO_Region_4_North_and_Central_America/USA_United_States_of_America/FL_Florida/USA_FL_Pensacola.Intl.AP.722220_US.Normals.1991-2020.zip")</f>
        <v>https://climate.onebuilding.org/WMO_Region_4_North_and_Central_America/USA_United_States_of_America/FL_Florida/USA_FL_Pensacola.Intl.AP.722220_US.Normals.1991-2020.zip</v>
      </c>
    </row>
    <row r="530" spans="1:10" x14ac:dyDescent="0.25">
      <c r="A530" t="s">
        <v>35</v>
      </c>
      <c r="B530" t="s">
        <v>311</v>
      </c>
      <c r="C530" t="s">
        <v>355</v>
      </c>
      <c r="D530" s="2">
        <v>722220</v>
      </c>
      <c r="E530" t="s">
        <v>13</v>
      </c>
      <c r="F530">
        <v>30.478100000000001</v>
      </c>
      <c r="G530">
        <v>-87.186899999999994</v>
      </c>
      <c r="H530">
        <v>-6</v>
      </c>
      <c r="I530">
        <v>34.1</v>
      </c>
      <c r="J530" t="str">
        <f>HYPERLINK("https://climate.onebuilding.org/WMO_Region_4_North_and_Central_America/USA_United_States_of_America/FL_Florida/USA_FL_Pensacola.Intl.AP.722220_US.Normals.2006-2020.zip")</f>
        <v>https://climate.onebuilding.org/WMO_Region_4_North_and_Central_America/USA_United_States_of_America/FL_Florida/USA_FL_Pensacola.Intl.AP.722220_US.Normals.2006-2020.zip</v>
      </c>
    </row>
    <row r="531" spans="1:10" x14ac:dyDescent="0.25">
      <c r="A531" t="s">
        <v>35</v>
      </c>
      <c r="B531" t="s">
        <v>311</v>
      </c>
      <c r="C531" t="s">
        <v>356</v>
      </c>
      <c r="D531" s="2">
        <v>722049</v>
      </c>
      <c r="E531" t="s">
        <v>13</v>
      </c>
      <c r="F531">
        <v>26.25</v>
      </c>
      <c r="G531">
        <v>-80.1083</v>
      </c>
      <c r="H531">
        <v>-5</v>
      </c>
      <c r="I531">
        <v>6.4</v>
      </c>
      <c r="J531" t="str">
        <f>HYPERLINK("https://climate.onebuilding.org/WMO_Region_4_North_and_Central_America/USA_United_States_of_America/FL_Florida/USA_FL_Pompano.Beach.AF.722049_US.Normals.2006-2020.zip")</f>
        <v>https://climate.onebuilding.org/WMO_Region_4_North_and_Central_America/USA_United_States_of_America/FL_Florida/USA_FL_Pompano.Beach.AF.722049_US.Normals.2006-2020.zip</v>
      </c>
    </row>
    <row r="532" spans="1:10" x14ac:dyDescent="0.25">
      <c r="A532" t="s">
        <v>35</v>
      </c>
      <c r="B532" t="s">
        <v>311</v>
      </c>
      <c r="C532" t="s">
        <v>357</v>
      </c>
      <c r="D532" s="2">
        <v>722034</v>
      </c>
      <c r="E532" t="s">
        <v>13</v>
      </c>
      <c r="F532">
        <v>26.917200000000001</v>
      </c>
      <c r="G532">
        <v>-81.991399999999999</v>
      </c>
      <c r="H532">
        <v>-5</v>
      </c>
      <c r="I532">
        <v>7.6</v>
      </c>
      <c r="J532" t="str">
        <f>HYPERLINK("https://climate.onebuilding.org/WMO_Region_4_North_and_Central_America/USA_United_States_of_America/FL_Florida/USA_FL_Punta.Gorda.AP.722034_US.Normals.2006-2020.zip")</f>
        <v>https://climate.onebuilding.org/WMO_Region_4_North_and_Central_America/USA_United_States_of_America/FL_Florida/USA_FL_Punta.Gorda.AP.722034_US.Normals.2006-2020.zip</v>
      </c>
    </row>
    <row r="533" spans="1:10" x14ac:dyDescent="0.25">
      <c r="A533" t="s">
        <v>35</v>
      </c>
      <c r="B533" t="s">
        <v>311</v>
      </c>
      <c r="C533" t="s">
        <v>358</v>
      </c>
      <c r="D533" s="2">
        <v>722115</v>
      </c>
      <c r="E533" t="s">
        <v>13</v>
      </c>
      <c r="F533">
        <v>27.401399999999999</v>
      </c>
      <c r="G533">
        <v>-82.558599999999998</v>
      </c>
      <c r="H533">
        <v>-6</v>
      </c>
      <c r="I533">
        <v>8.5</v>
      </c>
      <c r="J533" t="str">
        <f>HYPERLINK("https://climate.onebuilding.org/WMO_Region_4_North_and_Central_America/USA_United_States_of_America/FL_Florida/USA_FL_Sarasota-Bradenton.Intl.AP.722115_US.Normals.2006-2020.zip")</f>
        <v>https://climate.onebuilding.org/WMO_Region_4_North_and_Central_America/USA_United_States_of_America/FL_Florida/USA_FL_Sarasota-Bradenton.Intl.AP.722115_US.Normals.2006-2020.zip</v>
      </c>
    </row>
    <row r="534" spans="1:10" x14ac:dyDescent="0.25">
      <c r="A534" t="s">
        <v>35</v>
      </c>
      <c r="B534" t="s">
        <v>311</v>
      </c>
      <c r="C534" t="s">
        <v>359</v>
      </c>
      <c r="D534" s="2">
        <v>747650</v>
      </c>
      <c r="E534" t="s">
        <v>13</v>
      </c>
      <c r="F534">
        <v>27.1525</v>
      </c>
      <c r="G534">
        <v>-81.368899999999996</v>
      </c>
      <c r="H534">
        <v>-5</v>
      </c>
      <c r="I534">
        <v>45.7</v>
      </c>
      <c r="J534" t="str">
        <f>HYPERLINK("https://climate.onebuilding.org/WMO_Region_4_North_and_Central_America/USA_United_States_of_America/FL_Florida/USA_FL_Sebring-Archbold.Biological.Station.747650_US.Normals.2006-2020.zip")</f>
        <v>https://climate.onebuilding.org/WMO_Region_4_North_and_Central_America/USA_United_States_of_America/FL_Florida/USA_FL_Sebring-Archbold.Biological.Station.747650_US.Normals.2006-2020.zip</v>
      </c>
    </row>
    <row r="535" spans="1:10" x14ac:dyDescent="0.25">
      <c r="A535" t="s">
        <v>35</v>
      </c>
      <c r="B535" t="s">
        <v>311</v>
      </c>
      <c r="C535" t="s">
        <v>360</v>
      </c>
      <c r="D535" s="2">
        <v>722116</v>
      </c>
      <c r="E535" t="s">
        <v>13</v>
      </c>
      <c r="F535">
        <v>27.910599999999999</v>
      </c>
      <c r="G535">
        <v>-82.6875</v>
      </c>
      <c r="H535">
        <v>-6</v>
      </c>
      <c r="I535">
        <v>3.4</v>
      </c>
      <c r="J535" t="str">
        <f>HYPERLINK("https://climate.onebuilding.org/WMO_Region_4_North_and_Central_America/USA_United_States_of_America/FL_Florida/USA_FL_St.Petersburg-Clearwater.Intl.AP.722116_US.Normals.1981-2010.zip")</f>
        <v>https://climate.onebuilding.org/WMO_Region_4_North_and_Central_America/USA_United_States_of_America/FL_Florida/USA_FL_St.Petersburg-Clearwater.Intl.AP.722116_US.Normals.1981-2010.zip</v>
      </c>
    </row>
    <row r="536" spans="1:10" x14ac:dyDescent="0.25">
      <c r="A536" t="s">
        <v>35</v>
      </c>
      <c r="B536" t="s">
        <v>311</v>
      </c>
      <c r="C536" t="s">
        <v>360</v>
      </c>
      <c r="D536" s="2">
        <v>722116</v>
      </c>
      <c r="E536" t="s">
        <v>13</v>
      </c>
      <c r="F536">
        <v>27.910599999999999</v>
      </c>
      <c r="G536">
        <v>-82.6875</v>
      </c>
      <c r="H536">
        <v>-6</v>
      </c>
      <c r="I536">
        <v>3.4</v>
      </c>
      <c r="J536" t="str">
        <f>HYPERLINK("https://climate.onebuilding.org/WMO_Region_4_North_and_Central_America/USA_United_States_of_America/FL_Florida/USA_FL_St.Petersburg-Clearwater.Intl.AP.722116_US.Normals.1991-2020.zip")</f>
        <v>https://climate.onebuilding.org/WMO_Region_4_North_and_Central_America/USA_United_States_of_America/FL_Florida/USA_FL_St.Petersburg-Clearwater.Intl.AP.722116_US.Normals.1991-2020.zip</v>
      </c>
    </row>
    <row r="537" spans="1:10" x14ac:dyDescent="0.25">
      <c r="A537" t="s">
        <v>35</v>
      </c>
      <c r="B537" t="s">
        <v>311</v>
      </c>
      <c r="C537" t="s">
        <v>360</v>
      </c>
      <c r="D537" s="2">
        <v>722116</v>
      </c>
      <c r="E537" t="s">
        <v>13</v>
      </c>
      <c r="F537">
        <v>27.910599999999999</v>
      </c>
      <c r="G537">
        <v>-82.6875</v>
      </c>
      <c r="H537">
        <v>-6</v>
      </c>
      <c r="I537">
        <v>3.4</v>
      </c>
      <c r="J537" t="str">
        <f>HYPERLINK("https://climate.onebuilding.org/WMO_Region_4_North_and_Central_America/USA_United_States_of_America/FL_Florida/USA_FL_St.Petersburg-Clearwater.Intl.AP.722116_US.Normals.2006-2020.zip")</f>
        <v>https://climate.onebuilding.org/WMO_Region_4_North_and_Central_America/USA_United_States_of_America/FL_Florida/USA_FL_St.Petersburg-Clearwater.Intl.AP.722116_US.Normals.2006-2020.zip</v>
      </c>
    </row>
    <row r="538" spans="1:10" x14ac:dyDescent="0.25">
      <c r="A538" t="s">
        <v>35</v>
      </c>
      <c r="B538" t="s">
        <v>311</v>
      </c>
      <c r="C538" t="s">
        <v>361</v>
      </c>
      <c r="D538" s="2">
        <v>722104</v>
      </c>
      <c r="E538" t="s">
        <v>13</v>
      </c>
      <c r="F538">
        <v>27.762799999999999</v>
      </c>
      <c r="G538">
        <v>-82.626099999999994</v>
      </c>
      <c r="H538">
        <v>-6</v>
      </c>
      <c r="I538">
        <v>2.4</v>
      </c>
      <c r="J538" t="str">
        <f>HYPERLINK("https://climate.onebuilding.org/WMO_Region_4_North_and_Central_America/USA_United_States_of_America/FL_Florida/USA_FL_St.Petersburg-Whitted.AP.722104_US.Normals.2006-2020.zip")</f>
        <v>https://climate.onebuilding.org/WMO_Region_4_North_and_Central_America/USA_United_States_of_America/FL_Florida/USA_FL_St.Petersburg-Whitted.AP.722104_US.Normals.2006-2020.zip</v>
      </c>
    </row>
    <row r="539" spans="1:10" x14ac:dyDescent="0.25">
      <c r="A539" t="s">
        <v>35</v>
      </c>
      <c r="B539" t="s">
        <v>311</v>
      </c>
      <c r="C539" t="s">
        <v>362</v>
      </c>
      <c r="D539" s="2">
        <v>722140</v>
      </c>
      <c r="E539" t="s">
        <v>13</v>
      </c>
      <c r="F539">
        <v>30.397500000000001</v>
      </c>
      <c r="G539">
        <v>-84.328900000000004</v>
      </c>
      <c r="H539">
        <v>-6</v>
      </c>
      <c r="I539">
        <v>19.2</v>
      </c>
      <c r="J539" t="str">
        <f>HYPERLINK("https://climate.onebuilding.org/WMO_Region_4_North_and_Central_America/USA_United_States_of_America/FL_Florida/USA_FL_Tallahassee.Intl.AP.722140_US.Normals.1981-2010.zip")</f>
        <v>https://climate.onebuilding.org/WMO_Region_4_North_and_Central_America/USA_United_States_of_America/FL_Florida/USA_FL_Tallahassee.Intl.AP.722140_US.Normals.1981-2010.zip</v>
      </c>
    </row>
    <row r="540" spans="1:10" x14ac:dyDescent="0.25">
      <c r="A540" t="s">
        <v>35</v>
      </c>
      <c r="B540" t="s">
        <v>311</v>
      </c>
      <c r="C540" t="s">
        <v>362</v>
      </c>
      <c r="D540" s="2">
        <v>722140</v>
      </c>
      <c r="E540" t="s">
        <v>13</v>
      </c>
      <c r="F540">
        <v>30.397500000000001</v>
      </c>
      <c r="G540">
        <v>-84.328900000000004</v>
      </c>
      <c r="H540">
        <v>-6</v>
      </c>
      <c r="I540">
        <v>19.2</v>
      </c>
      <c r="J540" t="str">
        <f>HYPERLINK("https://climate.onebuilding.org/WMO_Region_4_North_and_Central_America/USA_United_States_of_America/FL_Florida/USA_FL_Tallahassee.Intl.AP.722140_US.Normals.1991-2020.zip")</f>
        <v>https://climate.onebuilding.org/WMO_Region_4_North_and_Central_America/USA_United_States_of_America/FL_Florida/USA_FL_Tallahassee.Intl.AP.722140_US.Normals.1991-2020.zip</v>
      </c>
    </row>
    <row r="541" spans="1:10" x14ac:dyDescent="0.25">
      <c r="A541" t="s">
        <v>35</v>
      </c>
      <c r="B541" t="s">
        <v>311</v>
      </c>
      <c r="C541" t="s">
        <v>362</v>
      </c>
      <c r="D541" s="2">
        <v>722140</v>
      </c>
      <c r="E541" t="s">
        <v>13</v>
      </c>
      <c r="F541">
        <v>30.397500000000001</v>
      </c>
      <c r="G541">
        <v>-84.328900000000004</v>
      </c>
      <c r="H541">
        <v>-6</v>
      </c>
      <c r="I541">
        <v>19.2</v>
      </c>
      <c r="J541" t="str">
        <f>HYPERLINK("https://climate.onebuilding.org/WMO_Region_4_North_and_Central_America/USA_United_States_of_America/FL_Florida/USA_FL_Tallahassee.Intl.AP.722140_US.Normals.2006-2020.zip")</f>
        <v>https://climate.onebuilding.org/WMO_Region_4_North_and_Central_America/USA_United_States_of_America/FL_Florida/USA_FL_Tallahassee.Intl.AP.722140_US.Normals.2006-2020.zip</v>
      </c>
    </row>
    <row r="542" spans="1:10" x14ac:dyDescent="0.25">
      <c r="A542" t="s">
        <v>35</v>
      </c>
      <c r="B542" t="s">
        <v>311</v>
      </c>
      <c r="C542" t="s">
        <v>363</v>
      </c>
      <c r="D542" s="2">
        <v>747880</v>
      </c>
      <c r="E542" t="s">
        <v>13</v>
      </c>
      <c r="F542">
        <v>27.85</v>
      </c>
      <c r="G542">
        <v>-82.5167</v>
      </c>
      <c r="H542">
        <v>-6</v>
      </c>
      <c r="I542">
        <v>7.9</v>
      </c>
      <c r="J542" t="str">
        <f>HYPERLINK("https://climate.onebuilding.org/WMO_Region_4_North_and_Central_America/USA_United_States_of_America/FL_Florida/USA_FL_Tampa-MacDill.AFB.747880_US.Normals.2006-2020.zip")</f>
        <v>https://climate.onebuilding.org/WMO_Region_4_North_and_Central_America/USA_United_States_of_America/FL_Florida/USA_FL_Tampa-MacDill.AFB.747880_US.Normals.2006-2020.zip</v>
      </c>
    </row>
    <row r="543" spans="1:10" x14ac:dyDescent="0.25">
      <c r="A543" t="s">
        <v>35</v>
      </c>
      <c r="B543" t="s">
        <v>311</v>
      </c>
      <c r="C543" t="s">
        <v>364</v>
      </c>
      <c r="D543" s="2">
        <v>722110</v>
      </c>
      <c r="E543" t="s">
        <v>13</v>
      </c>
      <c r="F543">
        <v>27.9619</v>
      </c>
      <c r="G543">
        <v>-82.540300000000002</v>
      </c>
      <c r="H543">
        <v>-6</v>
      </c>
      <c r="I543">
        <v>5.8</v>
      </c>
      <c r="J543" t="str">
        <f>HYPERLINK("https://climate.onebuilding.org/WMO_Region_4_North_and_Central_America/USA_United_States_of_America/FL_Florida/USA_FL_Tampa.Intl.AP.722110_US.Normals.1981-2010.zip")</f>
        <v>https://climate.onebuilding.org/WMO_Region_4_North_and_Central_America/USA_United_States_of_America/FL_Florida/USA_FL_Tampa.Intl.AP.722110_US.Normals.1981-2010.zip</v>
      </c>
    </row>
    <row r="544" spans="1:10" x14ac:dyDescent="0.25">
      <c r="A544" t="s">
        <v>35</v>
      </c>
      <c r="B544" t="s">
        <v>311</v>
      </c>
      <c r="C544" t="s">
        <v>364</v>
      </c>
      <c r="D544" s="2">
        <v>722110</v>
      </c>
      <c r="E544" t="s">
        <v>13</v>
      </c>
      <c r="F544">
        <v>27.9619</v>
      </c>
      <c r="G544">
        <v>-82.540300000000002</v>
      </c>
      <c r="H544">
        <v>-6</v>
      </c>
      <c r="I544">
        <v>5.8</v>
      </c>
      <c r="J544" t="str">
        <f>HYPERLINK("https://climate.onebuilding.org/WMO_Region_4_North_and_Central_America/USA_United_States_of_America/FL_Florida/USA_FL_Tampa.Intl.AP.722110_US.Normals.1991-2020.zip")</f>
        <v>https://climate.onebuilding.org/WMO_Region_4_North_and_Central_America/USA_United_States_of_America/FL_Florida/USA_FL_Tampa.Intl.AP.722110_US.Normals.1991-2020.zip</v>
      </c>
    </row>
    <row r="545" spans="1:10" x14ac:dyDescent="0.25">
      <c r="A545" t="s">
        <v>35</v>
      </c>
      <c r="B545" t="s">
        <v>311</v>
      </c>
      <c r="C545" t="s">
        <v>364</v>
      </c>
      <c r="D545" s="2">
        <v>722110</v>
      </c>
      <c r="E545" t="s">
        <v>13</v>
      </c>
      <c r="F545">
        <v>27.9619</v>
      </c>
      <c r="G545">
        <v>-82.540300000000002</v>
      </c>
      <c r="H545">
        <v>-6</v>
      </c>
      <c r="I545">
        <v>5.8</v>
      </c>
      <c r="J545" t="str">
        <f>HYPERLINK("https://climate.onebuilding.org/WMO_Region_4_North_and_Central_America/USA_United_States_of_America/FL_Florida/USA_FL_Tampa.Intl.AP.722110_US.Normals.2006-2020.zip")</f>
        <v>https://climate.onebuilding.org/WMO_Region_4_North_and_Central_America/USA_United_States_of_America/FL_Florida/USA_FL_Tampa.Intl.AP.722110_US.Normals.2006-2020.zip</v>
      </c>
    </row>
    <row r="546" spans="1:10" x14ac:dyDescent="0.25">
      <c r="A546" t="s">
        <v>35</v>
      </c>
      <c r="B546" t="s">
        <v>311</v>
      </c>
      <c r="C546" t="s">
        <v>365</v>
      </c>
      <c r="D546" s="2">
        <v>747930</v>
      </c>
      <c r="E546" t="s">
        <v>13</v>
      </c>
      <c r="F546">
        <v>27.656110000000002</v>
      </c>
      <c r="G546">
        <v>-80.418049999999994</v>
      </c>
      <c r="H546">
        <v>-5</v>
      </c>
      <c r="I546">
        <v>12</v>
      </c>
      <c r="J546" t="str">
        <f>HYPERLINK("https://climate.onebuilding.org/WMO_Region_4_North_and_Central_America/USA_United_States_of_America/FL_Florida/USA_FL_Vero.Beach.Muni.AP.747930_US.Normals.1981-2010.zip")</f>
        <v>https://climate.onebuilding.org/WMO_Region_4_North_and_Central_America/USA_United_States_of_America/FL_Florida/USA_FL_Vero.Beach.Muni.AP.747930_US.Normals.1981-2010.zip</v>
      </c>
    </row>
    <row r="547" spans="1:10" x14ac:dyDescent="0.25">
      <c r="A547" t="s">
        <v>35</v>
      </c>
      <c r="B547" t="s">
        <v>311</v>
      </c>
      <c r="C547" t="s">
        <v>365</v>
      </c>
      <c r="D547" s="2">
        <v>747930</v>
      </c>
      <c r="E547" t="s">
        <v>13</v>
      </c>
      <c r="F547">
        <v>27.656110000000002</v>
      </c>
      <c r="G547">
        <v>-80.418049999999994</v>
      </c>
      <c r="H547">
        <v>-5</v>
      </c>
      <c r="I547">
        <v>12</v>
      </c>
      <c r="J547" t="str">
        <f>HYPERLINK("https://climate.onebuilding.org/WMO_Region_4_North_and_Central_America/USA_United_States_of_America/FL_Florida/USA_FL_Vero.Beach.Muni.AP.747930_US.Normals.2006-2020.zip")</f>
        <v>https://climate.onebuilding.org/WMO_Region_4_North_and_Central_America/USA_United_States_of_America/FL_Florida/USA_FL_Vero.Beach.Muni.AP.747930_US.Normals.2006-2020.zip</v>
      </c>
    </row>
    <row r="548" spans="1:10" x14ac:dyDescent="0.25">
      <c r="A548" t="s">
        <v>35</v>
      </c>
      <c r="B548" t="s">
        <v>311</v>
      </c>
      <c r="C548" t="s">
        <v>366</v>
      </c>
      <c r="D548" s="2">
        <v>747931</v>
      </c>
      <c r="E548" t="s">
        <v>13</v>
      </c>
      <c r="F548">
        <v>28.062200000000001</v>
      </c>
      <c r="G548">
        <v>-81.754199999999997</v>
      </c>
      <c r="H548">
        <v>-5</v>
      </c>
      <c r="I548">
        <v>44.5</v>
      </c>
      <c r="J548" t="str">
        <f>HYPERLINK("https://climate.onebuilding.org/WMO_Region_4_North_and_Central_America/USA_United_States_of_America/FL_Florida/USA_FL_Winter.Haven.Rgnl.AP-Gilbert.Field.747931_US.Normals.2006-2020.zip")</f>
        <v>https://climate.onebuilding.org/WMO_Region_4_North_and_Central_America/USA_United_States_of_America/FL_Florida/USA_FL_Winter.Haven.Rgnl.AP-Gilbert.Field.747931_US.Normals.2006-2020.zip</v>
      </c>
    </row>
    <row r="549" spans="1:10" x14ac:dyDescent="0.25">
      <c r="A549" t="s">
        <v>35</v>
      </c>
      <c r="B549" t="s">
        <v>367</v>
      </c>
      <c r="C549" t="s">
        <v>368</v>
      </c>
      <c r="D549" s="2">
        <v>722160</v>
      </c>
      <c r="E549" t="s">
        <v>13</v>
      </c>
      <c r="F549">
        <v>31.535599999999999</v>
      </c>
      <c r="G549">
        <v>-84.194400000000002</v>
      </c>
      <c r="H549">
        <v>-6</v>
      </c>
      <c r="I549">
        <v>57.9</v>
      </c>
      <c r="J549" t="str">
        <f>HYPERLINK("https://climate.onebuilding.org/WMO_Region_4_North_and_Central_America/USA_United_States_of_America/GA_Georgia/USA_GA_Albany-Southwest.Georgia.Rgnl.AP.722160_US.Normals.1981-2010.zip")</f>
        <v>https://climate.onebuilding.org/WMO_Region_4_North_and_Central_America/USA_United_States_of_America/GA_Georgia/USA_GA_Albany-Southwest.Georgia.Rgnl.AP.722160_US.Normals.1981-2010.zip</v>
      </c>
    </row>
    <row r="550" spans="1:10" x14ac:dyDescent="0.25">
      <c r="A550" t="s">
        <v>35</v>
      </c>
      <c r="B550" t="s">
        <v>367</v>
      </c>
      <c r="C550" t="s">
        <v>368</v>
      </c>
      <c r="D550" s="2">
        <v>722160</v>
      </c>
      <c r="E550" t="s">
        <v>13</v>
      </c>
      <c r="F550">
        <v>31.535599999999999</v>
      </c>
      <c r="G550">
        <v>-84.194400000000002</v>
      </c>
      <c r="H550">
        <v>-6</v>
      </c>
      <c r="I550">
        <v>57.9</v>
      </c>
      <c r="J550" t="str">
        <f>HYPERLINK("https://climate.onebuilding.org/WMO_Region_4_North_and_Central_America/USA_United_States_of_America/GA_Georgia/USA_GA_Albany-Southwest.Georgia.Rgnl.AP.722160_US.Normals.1991-2020.zip")</f>
        <v>https://climate.onebuilding.org/WMO_Region_4_North_and_Central_America/USA_United_States_of_America/GA_Georgia/USA_GA_Albany-Southwest.Georgia.Rgnl.AP.722160_US.Normals.1991-2020.zip</v>
      </c>
    </row>
    <row r="551" spans="1:10" x14ac:dyDescent="0.25">
      <c r="A551" t="s">
        <v>35</v>
      </c>
      <c r="B551" t="s">
        <v>367</v>
      </c>
      <c r="C551" t="s">
        <v>368</v>
      </c>
      <c r="D551" s="2">
        <v>722160</v>
      </c>
      <c r="E551" t="s">
        <v>13</v>
      </c>
      <c r="F551">
        <v>31.535599999999999</v>
      </c>
      <c r="G551">
        <v>-84.194400000000002</v>
      </c>
      <c r="H551">
        <v>-6</v>
      </c>
      <c r="I551">
        <v>57.9</v>
      </c>
      <c r="J551" t="str">
        <f>HYPERLINK("https://climate.onebuilding.org/WMO_Region_4_North_and_Central_America/USA_United_States_of_America/GA_Georgia/USA_GA_Albany-Southwest.Georgia.Rgnl.AP.722160_US.Normals.2006-2020.zip")</f>
        <v>https://climate.onebuilding.org/WMO_Region_4_North_and_Central_America/USA_United_States_of_America/GA_Georgia/USA_GA_Albany-Southwest.Georgia.Rgnl.AP.722160_US.Normals.2006-2020.zip</v>
      </c>
    </row>
    <row r="552" spans="1:10" x14ac:dyDescent="0.25">
      <c r="A552" t="s">
        <v>35</v>
      </c>
      <c r="B552" t="s">
        <v>367</v>
      </c>
      <c r="C552" t="s">
        <v>369</v>
      </c>
      <c r="D552" s="2">
        <v>723160</v>
      </c>
      <c r="E552" t="s">
        <v>13</v>
      </c>
      <c r="F552">
        <v>31.535799999999998</v>
      </c>
      <c r="G552">
        <v>-82.506699999999995</v>
      </c>
      <c r="H552">
        <v>-6</v>
      </c>
      <c r="I552">
        <v>58.8</v>
      </c>
      <c r="J552" t="str">
        <f>HYPERLINK("https://climate.onebuilding.org/WMO_Region_4_North_and_Central_America/USA_United_States_of_America/GA_Georgia/USA_GA_Alma-Bacon.County.AP.723160_US.Normals.2006-2020.zip")</f>
        <v>https://climate.onebuilding.org/WMO_Region_4_North_and_Central_America/USA_United_States_of_America/GA_Georgia/USA_GA_Alma-Bacon.County.AP.723160_US.Normals.2006-2020.zip</v>
      </c>
    </row>
    <row r="553" spans="1:10" x14ac:dyDescent="0.25">
      <c r="A553" t="s">
        <v>35</v>
      </c>
      <c r="B553" t="s">
        <v>367</v>
      </c>
      <c r="C553" t="s">
        <v>370</v>
      </c>
      <c r="D553" s="2">
        <v>723110</v>
      </c>
      <c r="E553" t="s">
        <v>13</v>
      </c>
      <c r="F553">
        <v>33.948099999999997</v>
      </c>
      <c r="G553">
        <v>-83.327500000000001</v>
      </c>
      <c r="H553">
        <v>-6</v>
      </c>
      <c r="I553">
        <v>239.3</v>
      </c>
      <c r="J553" t="str">
        <f>HYPERLINK("https://climate.onebuilding.org/WMO_Region_4_North_and_Central_America/USA_United_States_of_America/GA_Georgia/USA_GA_Athens-Epps.AP.723110_US.Normals.1981-2010.zip")</f>
        <v>https://climate.onebuilding.org/WMO_Region_4_North_and_Central_America/USA_United_States_of_America/GA_Georgia/USA_GA_Athens-Epps.AP.723110_US.Normals.1981-2010.zip</v>
      </c>
    </row>
    <row r="554" spans="1:10" x14ac:dyDescent="0.25">
      <c r="A554" t="s">
        <v>35</v>
      </c>
      <c r="B554" t="s">
        <v>367</v>
      </c>
      <c r="C554" t="s">
        <v>370</v>
      </c>
      <c r="D554" s="2">
        <v>723110</v>
      </c>
      <c r="E554" t="s">
        <v>13</v>
      </c>
      <c r="F554">
        <v>33.948099999999997</v>
      </c>
      <c r="G554">
        <v>-83.327500000000001</v>
      </c>
      <c r="H554">
        <v>-6</v>
      </c>
      <c r="I554">
        <v>239.3</v>
      </c>
      <c r="J554" t="str">
        <f>HYPERLINK("https://climate.onebuilding.org/WMO_Region_4_North_and_Central_America/USA_United_States_of_America/GA_Georgia/USA_GA_Athens-Epps.AP.723110_US.Normals.1991-2020.zip")</f>
        <v>https://climate.onebuilding.org/WMO_Region_4_North_and_Central_America/USA_United_States_of_America/GA_Georgia/USA_GA_Athens-Epps.AP.723110_US.Normals.1991-2020.zip</v>
      </c>
    </row>
    <row r="555" spans="1:10" x14ac:dyDescent="0.25">
      <c r="A555" t="s">
        <v>35</v>
      </c>
      <c r="B555" t="s">
        <v>367</v>
      </c>
      <c r="C555" t="s">
        <v>370</v>
      </c>
      <c r="D555" s="2">
        <v>723110</v>
      </c>
      <c r="E555" t="s">
        <v>13</v>
      </c>
      <c r="F555">
        <v>33.948099999999997</v>
      </c>
      <c r="G555">
        <v>-83.327500000000001</v>
      </c>
      <c r="H555">
        <v>-6</v>
      </c>
      <c r="I555">
        <v>239.3</v>
      </c>
      <c r="J555" t="str">
        <f>HYPERLINK("https://climate.onebuilding.org/WMO_Region_4_North_and_Central_America/USA_United_States_of_America/GA_Georgia/USA_GA_Athens-Epps.AP.723110_US.Normals.2006-2020.zip")</f>
        <v>https://climate.onebuilding.org/WMO_Region_4_North_and_Central_America/USA_United_States_of_America/GA_Georgia/USA_GA_Athens-Epps.AP.723110_US.Normals.2006-2020.zip</v>
      </c>
    </row>
    <row r="556" spans="1:10" x14ac:dyDescent="0.25">
      <c r="A556" t="s">
        <v>35</v>
      </c>
      <c r="B556" t="s">
        <v>367</v>
      </c>
      <c r="C556" t="s">
        <v>371</v>
      </c>
      <c r="D556" s="2">
        <v>722195</v>
      </c>
      <c r="E556" t="s">
        <v>13</v>
      </c>
      <c r="F556">
        <v>33.779200000000003</v>
      </c>
      <c r="G556">
        <v>-84.5214</v>
      </c>
      <c r="H556">
        <v>-6</v>
      </c>
      <c r="I556">
        <v>256</v>
      </c>
      <c r="J556" t="str">
        <f>HYPERLINK("https://climate.onebuilding.org/WMO_Region_4_North_and_Central_America/USA_United_States_of_America/GA_Georgia/USA_GA_Atlanta-Fulton.County.AP-Brown.Field.722195_US.Normals.1981-2010.zip")</f>
        <v>https://climate.onebuilding.org/WMO_Region_4_North_and_Central_America/USA_United_States_of_America/GA_Georgia/USA_GA_Atlanta-Fulton.County.AP-Brown.Field.722195_US.Normals.1981-2010.zip</v>
      </c>
    </row>
    <row r="557" spans="1:10" x14ac:dyDescent="0.25">
      <c r="A557" t="s">
        <v>35</v>
      </c>
      <c r="B557" t="s">
        <v>367</v>
      </c>
      <c r="C557" t="s">
        <v>371</v>
      </c>
      <c r="D557" s="2">
        <v>722195</v>
      </c>
      <c r="E557" t="s">
        <v>13</v>
      </c>
      <c r="F557">
        <v>33.779200000000003</v>
      </c>
      <c r="G557">
        <v>-84.5214</v>
      </c>
      <c r="H557">
        <v>-6</v>
      </c>
      <c r="I557">
        <v>256</v>
      </c>
      <c r="J557" t="str">
        <f>HYPERLINK("https://climate.onebuilding.org/WMO_Region_4_North_and_Central_America/USA_United_States_of_America/GA_Georgia/USA_GA_Atlanta-Fulton.County.AP-Brown.Field.722195_US.Normals.1991-2020.zip")</f>
        <v>https://climate.onebuilding.org/WMO_Region_4_North_and_Central_America/USA_United_States_of_America/GA_Georgia/USA_GA_Atlanta-Fulton.County.AP-Brown.Field.722195_US.Normals.1991-2020.zip</v>
      </c>
    </row>
    <row r="558" spans="1:10" x14ac:dyDescent="0.25">
      <c r="A558" t="s">
        <v>35</v>
      </c>
      <c r="B558" t="s">
        <v>367</v>
      </c>
      <c r="C558" t="s">
        <v>371</v>
      </c>
      <c r="D558" s="2">
        <v>722195</v>
      </c>
      <c r="E558" t="s">
        <v>13</v>
      </c>
      <c r="F558">
        <v>33.779200000000003</v>
      </c>
      <c r="G558">
        <v>-84.5214</v>
      </c>
      <c r="H558">
        <v>-6</v>
      </c>
      <c r="I558">
        <v>256</v>
      </c>
      <c r="J558" t="str">
        <f>HYPERLINK("https://climate.onebuilding.org/WMO_Region_4_North_and_Central_America/USA_United_States_of_America/GA_Georgia/USA_GA_Atlanta-Fulton.County.AP-Brown.Field.722195_US.Normals.2006-2020.zip")</f>
        <v>https://climate.onebuilding.org/WMO_Region_4_North_and_Central_America/USA_United_States_of_America/GA_Georgia/USA_GA_Atlanta-Fulton.County.AP-Brown.Field.722195_US.Normals.2006-2020.zip</v>
      </c>
    </row>
    <row r="559" spans="1:10" x14ac:dyDescent="0.25">
      <c r="A559" t="s">
        <v>35</v>
      </c>
      <c r="B559" t="s">
        <v>367</v>
      </c>
      <c r="C559" t="s">
        <v>372</v>
      </c>
      <c r="D559" s="2">
        <v>722190</v>
      </c>
      <c r="E559" t="s">
        <v>13</v>
      </c>
      <c r="F559">
        <v>33.630000000000003</v>
      </c>
      <c r="G559">
        <v>-84.441699999999997</v>
      </c>
      <c r="H559">
        <v>-6</v>
      </c>
      <c r="I559">
        <v>307.8</v>
      </c>
      <c r="J559" t="str">
        <f>HYPERLINK("https://climate.onebuilding.org/WMO_Region_4_North_and_Central_America/USA_United_States_of_America/GA_Georgia/USA_GA_Atlanta-Hartsfield-Jackson.Intl.AP.722190_US.Normals.1981-2010.zip")</f>
        <v>https://climate.onebuilding.org/WMO_Region_4_North_and_Central_America/USA_United_States_of_America/GA_Georgia/USA_GA_Atlanta-Hartsfield-Jackson.Intl.AP.722190_US.Normals.1981-2010.zip</v>
      </c>
    </row>
    <row r="560" spans="1:10" x14ac:dyDescent="0.25">
      <c r="A560" t="s">
        <v>35</v>
      </c>
      <c r="B560" t="s">
        <v>367</v>
      </c>
      <c r="C560" t="s">
        <v>372</v>
      </c>
      <c r="D560" s="2">
        <v>722190</v>
      </c>
      <c r="E560" t="s">
        <v>13</v>
      </c>
      <c r="F560">
        <v>33.630000000000003</v>
      </c>
      <c r="G560">
        <v>-84.441699999999997</v>
      </c>
      <c r="H560">
        <v>-6</v>
      </c>
      <c r="I560">
        <v>307.8</v>
      </c>
      <c r="J560" t="str">
        <f>HYPERLINK("https://climate.onebuilding.org/WMO_Region_4_North_and_Central_America/USA_United_States_of_America/GA_Georgia/USA_GA_Atlanta-Hartsfield-Jackson.Intl.AP.722190_US.Normals.1991-2020.zip")</f>
        <v>https://climate.onebuilding.org/WMO_Region_4_North_and_Central_America/USA_United_States_of_America/GA_Georgia/USA_GA_Atlanta-Hartsfield-Jackson.Intl.AP.722190_US.Normals.1991-2020.zip</v>
      </c>
    </row>
    <row r="561" spans="1:10" x14ac:dyDescent="0.25">
      <c r="A561" t="s">
        <v>35</v>
      </c>
      <c r="B561" t="s">
        <v>367</v>
      </c>
      <c r="C561" t="s">
        <v>372</v>
      </c>
      <c r="D561" s="2">
        <v>722190</v>
      </c>
      <c r="E561" t="s">
        <v>13</v>
      </c>
      <c r="F561">
        <v>33.630000000000003</v>
      </c>
      <c r="G561">
        <v>-84.441699999999997</v>
      </c>
      <c r="H561">
        <v>-6</v>
      </c>
      <c r="I561">
        <v>307.8</v>
      </c>
      <c r="J561" t="str">
        <f>HYPERLINK("https://climate.onebuilding.org/WMO_Region_4_North_and_Central_America/USA_United_States_of_America/GA_Georgia/USA_GA_Atlanta-Hartsfield-Jackson.Intl.AP.722190_US.Normals.2006-2020.zip")</f>
        <v>https://climate.onebuilding.org/WMO_Region_4_North_and_Central_America/USA_United_States_of_America/GA_Georgia/USA_GA_Atlanta-Hartsfield-Jackson.Intl.AP.722190_US.Normals.2006-2020.zip</v>
      </c>
    </row>
    <row r="562" spans="1:10" x14ac:dyDescent="0.25">
      <c r="A562" t="s">
        <v>35</v>
      </c>
      <c r="B562" t="s">
        <v>367</v>
      </c>
      <c r="C562" t="s">
        <v>373</v>
      </c>
      <c r="D562" s="2">
        <v>722181</v>
      </c>
      <c r="E562" t="s">
        <v>13</v>
      </c>
      <c r="F562">
        <v>33.466900000000003</v>
      </c>
      <c r="G562">
        <v>-82.038600000000002</v>
      </c>
      <c r="H562">
        <v>-5</v>
      </c>
      <c r="I562">
        <v>128.9</v>
      </c>
      <c r="J562" t="str">
        <f>HYPERLINK("https://climate.onebuilding.org/WMO_Region_4_North_and_Central_America/USA_United_States_of_America/GA_Georgia/USA_GA_Augusta-Daniel.Field.AP.722181_US.Normals.2006-2020.zip")</f>
        <v>https://climate.onebuilding.org/WMO_Region_4_North_and_Central_America/USA_United_States_of_America/GA_Georgia/USA_GA_Augusta-Daniel.Field.AP.722181_US.Normals.2006-2020.zip</v>
      </c>
    </row>
    <row r="563" spans="1:10" x14ac:dyDescent="0.25">
      <c r="A563" t="s">
        <v>35</v>
      </c>
      <c r="B563" t="s">
        <v>367</v>
      </c>
      <c r="C563" t="s">
        <v>374</v>
      </c>
      <c r="D563" s="2">
        <v>722180</v>
      </c>
      <c r="E563" t="s">
        <v>13</v>
      </c>
      <c r="F563">
        <v>33.364400000000003</v>
      </c>
      <c r="G563">
        <v>-81.963300000000004</v>
      </c>
      <c r="H563">
        <v>-5</v>
      </c>
      <c r="I563">
        <v>40.200000000000003</v>
      </c>
      <c r="J563" t="str">
        <f>HYPERLINK("https://climate.onebuilding.org/WMO_Region_4_North_and_Central_America/USA_United_States_of_America/GA_Georgia/USA_GA_Augusta.Rgnl.AP-Bush.Field.722180_US.Normals.1981-2010.zip")</f>
        <v>https://climate.onebuilding.org/WMO_Region_4_North_and_Central_America/USA_United_States_of_America/GA_Georgia/USA_GA_Augusta.Rgnl.AP-Bush.Field.722180_US.Normals.1981-2010.zip</v>
      </c>
    </row>
    <row r="564" spans="1:10" x14ac:dyDescent="0.25">
      <c r="A564" t="s">
        <v>35</v>
      </c>
      <c r="B564" t="s">
        <v>367</v>
      </c>
      <c r="C564" t="s">
        <v>374</v>
      </c>
      <c r="D564" s="2">
        <v>722180</v>
      </c>
      <c r="E564" t="s">
        <v>13</v>
      </c>
      <c r="F564">
        <v>33.364400000000003</v>
      </c>
      <c r="G564">
        <v>-81.963300000000004</v>
      </c>
      <c r="H564">
        <v>-5</v>
      </c>
      <c r="I564">
        <v>40.200000000000003</v>
      </c>
      <c r="J564" t="str">
        <f>HYPERLINK("https://climate.onebuilding.org/WMO_Region_4_North_and_Central_America/USA_United_States_of_America/GA_Georgia/USA_GA_Augusta.Rgnl.AP-Bush.Field.722180_US.Normals.1991-2020.zip")</f>
        <v>https://climate.onebuilding.org/WMO_Region_4_North_and_Central_America/USA_United_States_of_America/GA_Georgia/USA_GA_Augusta.Rgnl.AP-Bush.Field.722180_US.Normals.1991-2020.zip</v>
      </c>
    </row>
    <row r="565" spans="1:10" x14ac:dyDescent="0.25">
      <c r="A565" t="s">
        <v>35</v>
      </c>
      <c r="B565" t="s">
        <v>367</v>
      </c>
      <c r="C565" t="s">
        <v>374</v>
      </c>
      <c r="D565" s="2">
        <v>722180</v>
      </c>
      <c r="E565" t="s">
        <v>13</v>
      </c>
      <c r="F565">
        <v>33.364400000000003</v>
      </c>
      <c r="G565">
        <v>-81.963300000000004</v>
      </c>
      <c r="H565">
        <v>-5</v>
      </c>
      <c r="I565">
        <v>40.200000000000003</v>
      </c>
      <c r="J565" t="str">
        <f>HYPERLINK("https://climate.onebuilding.org/WMO_Region_4_North_and_Central_America/USA_United_States_of_America/GA_Georgia/USA_GA_Augusta.Rgnl.AP-Bush.Field.722180_US.Normals.2006-2020.zip")</f>
        <v>https://climate.onebuilding.org/WMO_Region_4_North_and_Central_America/USA_United_States_of_America/GA_Georgia/USA_GA_Augusta.Rgnl.AP-Bush.Field.722180_US.Normals.2006-2020.zip</v>
      </c>
    </row>
    <row r="566" spans="1:10" x14ac:dyDescent="0.25">
      <c r="A566" t="s">
        <v>35</v>
      </c>
      <c r="B566" t="s">
        <v>367</v>
      </c>
      <c r="C566" t="s">
        <v>375</v>
      </c>
      <c r="D566" s="2">
        <v>722137</v>
      </c>
      <c r="E566" t="s">
        <v>13</v>
      </c>
      <c r="F566">
        <v>31.152200000000001</v>
      </c>
      <c r="G566">
        <v>-81.390799999999999</v>
      </c>
      <c r="H566">
        <v>-5</v>
      </c>
      <c r="I566">
        <v>4.9000000000000004</v>
      </c>
      <c r="J566" t="str">
        <f>HYPERLINK("https://climate.onebuilding.org/WMO_Region_4_North_and_Central_America/USA_United_States_of_America/GA_Georgia/USA_GA_Brunswick-McKinnon.St.Simons.Island.AP.722137_US.Normals.1991-2020.zip")</f>
        <v>https://climate.onebuilding.org/WMO_Region_4_North_and_Central_America/USA_United_States_of_America/GA_Georgia/USA_GA_Brunswick-McKinnon.St.Simons.Island.AP.722137_US.Normals.1991-2020.zip</v>
      </c>
    </row>
    <row r="567" spans="1:10" x14ac:dyDescent="0.25">
      <c r="A567" t="s">
        <v>35</v>
      </c>
      <c r="B567" t="s">
        <v>367</v>
      </c>
      <c r="C567" t="s">
        <v>375</v>
      </c>
      <c r="D567" s="2">
        <v>722137</v>
      </c>
      <c r="E567" t="s">
        <v>13</v>
      </c>
      <c r="F567">
        <v>31.152200000000001</v>
      </c>
      <c r="G567">
        <v>-81.390799999999999</v>
      </c>
      <c r="H567">
        <v>-5</v>
      </c>
      <c r="I567">
        <v>4.9000000000000004</v>
      </c>
      <c r="J567" t="str">
        <f>HYPERLINK("https://climate.onebuilding.org/WMO_Region_4_North_and_Central_America/USA_United_States_of_America/GA_Georgia/USA_GA_Brunswick-McKinnon.St.Simons.Island.AP.722137_US.Normals.2006-2020.zip")</f>
        <v>https://climate.onebuilding.org/WMO_Region_4_North_and_Central_America/USA_United_States_of_America/GA_Georgia/USA_GA_Brunswick-McKinnon.St.Simons.Island.AP.722137_US.Normals.2006-2020.zip</v>
      </c>
    </row>
    <row r="568" spans="1:10" x14ac:dyDescent="0.25">
      <c r="A568" t="s">
        <v>35</v>
      </c>
      <c r="B568" t="s">
        <v>367</v>
      </c>
      <c r="C568" t="s">
        <v>376</v>
      </c>
      <c r="D568" s="2">
        <v>722156</v>
      </c>
      <c r="E568" t="s">
        <v>13</v>
      </c>
      <c r="F568">
        <v>34.123100000000001</v>
      </c>
      <c r="G568">
        <v>-84.848600000000005</v>
      </c>
      <c r="H568">
        <v>-6</v>
      </c>
      <c r="I568">
        <v>232.6</v>
      </c>
      <c r="J568" t="str">
        <f>HYPERLINK("https://climate.onebuilding.org/WMO_Region_4_North_and_Central_America/USA_United_States_of_America/GA_Georgia/USA_GA_Cartersville.AP.722156_US.Normals.2006-2020.zip")</f>
        <v>https://climate.onebuilding.org/WMO_Region_4_North_and_Central_America/USA_United_States_of_America/GA_Georgia/USA_GA_Cartersville.AP.722156_US.Normals.2006-2020.zip</v>
      </c>
    </row>
    <row r="569" spans="1:10" x14ac:dyDescent="0.25">
      <c r="A569" t="s">
        <v>35</v>
      </c>
      <c r="B569" t="s">
        <v>367</v>
      </c>
      <c r="C569" t="s">
        <v>377</v>
      </c>
      <c r="D569" s="2">
        <v>722255</v>
      </c>
      <c r="E569" t="s">
        <v>13</v>
      </c>
      <c r="F569">
        <v>32.516100000000002</v>
      </c>
      <c r="G569">
        <v>-84.9422</v>
      </c>
      <c r="H569">
        <v>-6</v>
      </c>
      <c r="I569">
        <v>119.5</v>
      </c>
      <c r="J569" t="str">
        <f>HYPERLINK("https://climate.onebuilding.org/WMO_Region_4_North_and_Central_America/USA_United_States_of_America/GA_Georgia/USA_GA_Columbus.AP.722255_US.Normals.1981-2010.zip")</f>
        <v>https://climate.onebuilding.org/WMO_Region_4_North_and_Central_America/USA_United_States_of_America/GA_Georgia/USA_GA_Columbus.AP.722255_US.Normals.1981-2010.zip</v>
      </c>
    </row>
    <row r="570" spans="1:10" x14ac:dyDescent="0.25">
      <c r="A570" t="s">
        <v>35</v>
      </c>
      <c r="B570" t="s">
        <v>367</v>
      </c>
      <c r="C570" t="s">
        <v>377</v>
      </c>
      <c r="D570" s="2">
        <v>722255</v>
      </c>
      <c r="E570" t="s">
        <v>13</v>
      </c>
      <c r="F570">
        <v>32.516100000000002</v>
      </c>
      <c r="G570">
        <v>-84.9422</v>
      </c>
      <c r="H570">
        <v>-6</v>
      </c>
      <c r="I570">
        <v>119.5</v>
      </c>
      <c r="J570" t="str">
        <f>HYPERLINK("https://climate.onebuilding.org/WMO_Region_4_North_and_Central_America/USA_United_States_of_America/GA_Georgia/USA_GA_Columbus.AP.722255_US.Normals.1991-2020.zip")</f>
        <v>https://climate.onebuilding.org/WMO_Region_4_North_and_Central_America/USA_United_States_of_America/GA_Georgia/USA_GA_Columbus.AP.722255_US.Normals.1991-2020.zip</v>
      </c>
    </row>
    <row r="571" spans="1:10" x14ac:dyDescent="0.25">
      <c r="A571" t="s">
        <v>35</v>
      </c>
      <c r="B571" t="s">
        <v>367</v>
      </c>
      <c r="C571" t="s">
        <v>377</v>
      </c>
      <c r="D571" s="2">
        <v>722255</v>
      </c>
      <c r="E571" t="s">
        <v>13</v>
      </c>
      <c r="F571">
        <v>32.516100000000002</v>
      </c>
      <c r="G571">
        <v>-84.9422</v>
      </c>
      <c r="H571">
        <v>-6</v>
      </c>
      <c r="I571">
        <v>119.5</v>
      </c>
      <c r="J571" t="str">
        <f>HYPERLINK("https://climate.onebuilding.org/WMO_Region_4_North_and_Central_America/USA_United_States_of_America/GA_Georgia/USA_GA_Columbus.AP.722255_US.Normals.2006-2020.zip")</f>
        <v>https://climate.onebuilding.org/WMO_Region_4_North_and_Central_America/USA_United_States_of_America/GA_Georgia/USA_GA_Columbus.AP.722255_US.Normals.2006-2020.zip</v>
      </c>
    </row>
    <row r="572" spans="1:10" x14ac:dyDescent="0.25">
      <c r="A572" t="s">
        <v>35</v>
      </c>
      <c r="B572" t="s">
        <v>367</v>
      </c>
      <c r="C572" t="s">
        <v>378</v>
      </c>
      <c r="D572" s="2">
        <v>722196</v>
      </c>
      <c r="E572" t="s">
        <v>13</v>
      </c>
      <c r="F572">
        <v>33.875</v>
      </c>
      <c r="G572">
        <v>-84.302199999999999</v>
      </c>
      <c r="H572">
        <v>-6</v>
      </c>
      <c r="I572">
        <v>305.39999999999998</v>
      </c>
      <c r="J572" t="str">
        <f>HYPERLINK("https://climate.onebuilding.org/WMO_Region_4_North_and_Central_America/USA_United_States_of_America/GA_Georgia/USA_GA_DeKalb-Peachtree.AP.722196_US.Normals.2006-2020.zip")</f>
        <v>https://climate.onebuilding.org/WMO_Region_4_North_and_Central_America/USA_United_States_of_America/GA_Georgia/USA_GA_DeKalb-Peachtree.AP.722196_US.Normals.2006-2020.zip</v>
      </c>
    </row>
    <row r="573" spans="1:10" x14ac:dyDescent="0.25">
      <c r="A573" t="s">
        <v>35</v>
      </c>
      <c r="B573" t="s">
        <v>367</v>
      </c>
      <c r="C573" t="s">
        <v>379</v>
      </c>
      <c r="D573" s="2">
        <v>722250</v>
      </c>
      <c r="E573" t="s">
        <v>13</v>
      </c>
      <c r="F573">
        <v>32.332000000000001</v>
      </c>
      <c r="G573">
        <v>-84.989000000000004</v>
      </c>
      <c r="H573">
        <v>-6</v>
      </c>
      <c r="I573">
        <v>71</v>
      </c>
      <c r="J573" t="str">
        <f>HYPERLINK("https://climate.onebuilding.org/WMO_Region_4_North_and_Central_America/USA_United_States_of_America/GA_Georgia/USA_GA_Fort.Benning-Lawson.AAF.722250_US.Normals.1981-2010.zip")</f>
        <v>https://climate.onebuilding.org/WMO_Region_4_North_and_Central_America/USA_United_States_of_America/GA_Georgia/USA_GA_Fort.Benning-Lawson.AAF.722250_US.Normals.1981-2010.zip</v>
      </c>
    </row>
    <row r="574" spans="1:10" x14ac:dyDescent="0.25">
      <c r="A574" t="s">
        <v>35</v>
      </c>
      <c r="B574" t="s">
        <v>367</v>
      </c>
      <c r="C574" t="s">
        <v>379</v>
      </c>
      <c r="D574" s="2">
        <v>722250</v>
      </c>
      <c r="E574" t="s">
        <v>13</v>
      </c>
      <c r="F574">
        <v>32.332000000000001</v>
      </c>
      <c r="G574">
        <v>-84.989000000000004</v>
      </c>
      <c r="H574">
        <v>-6</v>
      </c>
      <c r="I574">
        <v>71</v>
      </c>
      <c r="J574" t="str">
        <f>HYPERLINK("https://climate.onebuilding.org/WMO_Region_4_North_and_Central_America/USA_United_States_of_America/GA_Georgia/USA_GA_Fort.Benning-Lawson.AAF.722250_US.Normals.1991-2020.zip")</f>
        <v>https://climate.onebuilding.org/WMO_Region_4_North_and_Central_America/USA_United_States_of_America/GA_Georgia/USA_GA_Fort.Benning-Lawson.AAF.722250_US.Normals.1991-2020.zip</v>
      </c>
    </row>
    <row r="575" spans="1:10" x14ac:dyDescent="0.25">
      <c r="A575" t="s">
        <v>35</v>
      </c>
      <c r="B575" t="s">
        <v>367</v>
      </c>
      <c r="C575" t="s">
        <v>379</v>
      </c>
      <c r="D575" s="2">
        <v>722250</v>
      </c>
      <c r="E575" t="s">
        <v>13</v>
      </c>
      <c r="F575">
        <v>32.332000000000001</v>
      </c>
      <c r="G575">
        <v>-84.989000000000004</v>
      </c>
      <c r="H575">
        <v>-6</v>
      </c>
      <c r="I575">
        <v>71</v>
      </c>
      <c r="J575" t="str">
        <f>HYPERLINK("https://climate.onebuilding.org/WMO_Region_4_North_and_Central_America/USA_United_States_of_America/GA_Georgia/USA_GA_Fort.Benning-Lawson.AAF.722250_US.Normals.2006-2020.zip")</f>
        <v>https://climate.onebuilding.org/WMO_Region_4_North_and_Central_America/USA_United_States_of_America/GA_Georgia/USA_GA_Fort.Benning-Lawson.AAF.722250_US.Normals.2006-2020.zip</v>
      </c>
    </row>
    <row r="576" spans="1:10" x14ac:dyDescent="0.25">
      <c r="A576" t="s">
        <v>35</v>
      </c>
      <c r="B576" t="s">
        <v>367</v>
      </c>
      <c r="C576" t="s">
        <v>380</v>
      </c>
      <c r="D576" s="2">
        <v>722185</v>
      </c>
      <c r="E576" t="s">
        <v>13</v>
      </c>
      <c r="F576">
        <v>34.271900000000002</v>
      </c>
      <c r="G576">
        <v>-83.830299999999994</v>
      </c>
      <c r="H576">
        <v>-6</v>
      </c>
      <c r="I576">
        <v>388.6</v>
      </c>
      <c r="J576" t="str">
        <f>HYPERLINK("https://climate.onebuilding.org/WMO_Region_4_North_and_Central_America/USA_United_States_of_America/GA_Georgia/USA_GA_Gainesville-Gilmer.Meml.AP.722185_US.Normals.2006-2020.zip")</f>
        <v>https://climate.onebuilding.org/WMO_Region_4_North_and_Central_America/USA_United_States_of_America/GA_Georgia/USA_GA_Gainesville-Gilmer.Meml.AP.722185_US.Normals.2006-2020.zip</v>
      </c>
    </row>
    <row r="577" spans="1:10" x14ac:dyDescent="0.25">
      <c r="A577" t="s">
        <v>35</v>
      </c>
      <c r="B577" t="s">
        <v>367</v>
      </c>
      <c r="C577" t="s">
        <v>381</v>
      </c>
      <c r="D577" s="2">
        <v>722090</v>
      </c>
      <c r="E577" t="s">
        <v>13</v>
      </c>
      <c r="F577">
        <v>31.883299999999998</v>
      </c>
      <c r="G577">
        <v>-81.566699999999997</v>
      </c>
      <c r="H577">
        <v>-5</v>
      </c>
      <c r="I577">
        <v>14</v>
      </c>
      <c r="J577" t="str">
        <f>HYPERLINK("https://climate.onebuilding.org/WMO_Region_4_North_and_Central_America/USA_United_States_of_America/GA_Georgia/USA_GA_Hinesville-Midcoast.Rgnl.AP-Wright.AAF-Ft.Stewart.722090_US.Normals.2006-2020.zip")</f>
        <v>https://climate.onebuilding.org/WMO_Region_4_North_and_Central_America/USA_United_States_of_America/GA_Georgia/USA_GA_Hinesville-Midcoast.Rgnl.AP-Wright.AAF-Ft.Stewart.722090_US.Normals.2006-2020.zip</v>
      </c>
    </row>
    <row r="578" spans="1:10" x14ac:dyDescent="0.25">
      <c r="A578" t="s">
        <v>35</v>
      </c>
      <c r="B578" t="s">
        <v>367</v>
      </c>
      <c r="C578" t="s">
        <v>382</v>
      </c>
      <c r="D578" s="2">
        <v>722170</v>
      </c>
      <c r="E578" t="s">
        <v>13</v>
      </c>
      <c r="F578">
        <v>32.684699999999999</v>
      </c>
      <c r="G578">
        <v>-83.652799999999999</v>
      </c>
      <c r="H578">
        <v>-6</v>
      </c>
      <c r="I578">
        <v>104.5</v>
      </c>
      <c r="J578" t="str">
        <f>HYPERLINK("https://climate.onebuilding.org/WMO_Region_4_North_and_Central_America/USA_United_States_of_America/GA_Georgia/USA_GA_Macon-Middle.Georgia.Rgnl.AP.722170_US.Normals.1981-2010.zip")</f>
        <v>https://climate.onebuilding.org/WMO_Region_4_North_and_Central_America/USA_United_States_of_America/GA_Georgia/USA_GA_Macon-Middle.Georgia.Rgnl.AP.722170_US.Normals.1981-2010.zip</v>
      </c>
    </row>
    <row r="579" spans="1:10" x14ac:dyDescent="0.25">
      <c r="A579" t="s">
        <v>35</v>
      </c>
      <c r="B579" t="s">
        <v>367</v>
      </c>
      <c r="C579" t="s">
        <v>382</v>
      </c>
      <c r="D579" s="2">
        <v>722170</v>
      </c>
      <c r="E579" t="s">
        <v>13</v>
      </c>
      <c r="F579">
        <v>32.684699999999999</v>
      </c>
      <c r="G579">
        <v>-83.652799999999999</v>
      </c>
      <c r="H579">
        <v>-6</v>
      </c>
      <c r="I579">
        <v>104.5</v>
      </c>
      <c r="J579" t="str">
        <f>HYPERLINK("https://climate.onebuilding.org/WMO_Region_4_North_and_Central_America/USA_United_States_of_America/GA_Georgia/USA_GA_Macon-Middle.Georgia.Rgnl.AP.722170_US.Normals.1991-2020.zip")</f>
        <v>https://climate.onebuilding.org/WMO_Region_4_North_and_Central_America/USA_United_States_of_America/GA_Georgia/USA_GA_Macon-Middle.Georgia.Rgnl.AP.722170_US.Normals.1991-2020.zip</v>
      </c>
    </row>
    <row r="580" spans="1:10" x14ac:dyDescent="0.25">
      <c r="A580" t="s">
        <v>35</v>
      </c>
      <c r="B580" t="s">
        <v>367</v>
      </c>
      <c r="C580" t="s">
        <v>382</v>
      </c>
      <c r="D580" s="2">
        <v>722170</v>
      </c>
      <c r="E580" t="s">
        <v>13</v>
      </c>
      <c r="F580">
        <v>32.684699999999999</v>
      </c>
      <c r="G580">
        <v>-83.652799999999999</v>
      </c>
      <c r="H580">
        <v>-6</v>
      </c>
      <c r="I580">
        <v>104.5</v>
      </c>
      <c r="J580" t="str">
        <f>HYPERLINK("https://climate.onebuilding.org/WMO_Region_4_North_and_Central_America/USA_United_States_of_America/GA_Georgia/USA_GA_Macon-Middle.Georgia.Rgnl.AP.722170_US.Normals.2006-2020.zip")</f>
        <v>https://climate.onebuilding.org/WMO_Region_4_North_and_Central_America/USA_United_States_of_America/GA_Georgia/USA_GA_Macon-Middle.Georgia.Rgnl.AP.722170_US.Normals.2006-2020.zip</v>
      </c>
    </row>
    <row r="581" spans="1:10" x14ac:dyDescent="0.25">
      <c r="A581" t="s">
        <v>35</v>
      </c>
      <c r="B581" t="s">
        <v>367</v>
      </c>
      <c r="C581" t="s">
        <v>383</v>
      </c>
      <c r="D581" s="2">
        <v>722270</v>
      </c>
      <c r="E581" t="s">
        <v>13</v>
      </c>
      <c r="F581">
        <v>33.916699999999999</v>
      </c>
      <c r="G581">
        <v>-84.5167</v>
      </c>
      <c r="H581">
        <v>-6</v>
      </c>
      <c r="I581">
        <v>330.1</v>
      </c>
      <c r="J581" t="str">
        <f>HYPERLINK("https://climate.onebuilding.org/WMO_Region_4_North_and_Central_America/USA_United_States_of_America/GA_Georgia/USA_GA_Marietta-Dobbins.ARB.722270_US.Normals.2006-2020.zip")</f>
        <v>https://climate.onebuilding.org/WMO_Region_4_North_and_Central_America/USA_United_States_of_America/GA_Georgia/USA_GA_Marietta-Dobbins.ARB.722270_US.Normals.2006-2020.zip</v>
      </c>
    </row>
    <row r="582" spans="1:10" x14ac:dyDescent="0.25">
      <c r="A582" t="s">
        <v>35</v>
      </c>
      <c r="B582" t="s">
        <v>367</v>
      </c>
      <c r="C582" t="s">
        <v>384</v>
      </c>
      <c r="D582" s="2">
        <v>723220</v>
      </c>
      <c r="E582" t="s">
        <v>13</v>
      </c>
      <c r="F582">
        <v>31.1922</v>
      </c>
      <c r="G582">
        <v>-84.446399999999997</v>
      </c>
      <c r="H582">
        <v>-6</v>
      </c>
      <c r="I582">
        <v>47.5</v>
      </c>
      <c r="J582" t="str">
        <f>HYPERLINK("https://climate.onebuilding.org/WMO_Region_4_North_and_Central_America/USA_United_States_of_America/GA_Georgia/USA_GA_Newton-Jones.Center.at.Ichauway.Research.Institute.723220_US.Normals.2006-2020.zip")</f>
        <v>https://climate.onebuilding.org/WMO_Region_4_North_and_Central_America/USA_United_States_of_America/GA_Georgia/USA_GA_Newton-Jones.Center.at.Ichauway.Research.Institute.723220_US.Normals.2006-2020.zip</v>
      </c>
    </row>
    <row r="583" spans="1:10" x14ac:dyDescent="0.25">
      <c r="A583" t="s">
        <v>35</v>
      </c>
      <c r="B583" t="s">
        <v>367</v>
      </c>
      <c r="C583" t="s">
        <v>385</v>
      </c>
      <c r="D583" s="2">
        <v>740050</v>
      </c>
      <c r="E583" t="s">
        <v>13</v>
      </c>
      <c r="F583">
        <v>31.312799999999999</v>
      </c>
      <c r="G583">
        <v>-84.470600000000005</v>
      </c>
      <c r="H583">
        <v>-6</v>
      </c>
      <c r="I583">
        <v>53.6</v>
      </c>
      <c r="J583" t="str">
        <f>HYPERLINK("https://climate.onebuilding.org/WMO_Region_4_North_and_Central_America/USA_United_States_of_America/GA_Georgia/USA_GA_Newton-Woodruff.Foundation.at.Ichauway.Research.Institute.740050_US.Normals.2006-2020.zip")</f>
        <v>https://climate.onebuilding.org/WMO_Region_4_North_and_Central_America/USA_United_States_of_America/GA_Georgia/USA_GA_Newton-Woodruff.Foundation.at.Ichauway.Research.Institute.740050_US.Normals.2006-2020.zip</v>
      </c>
    </row>
    <row r="584" spans="1:10" x14ac:dyDescent="0.25">
      <c r="A584" t="s">
        <v>35</v>
      </c>
      <c r="B584" t="s">
        <v>367</v>
      </c>
      <c r="C584" t="s">
        <v>386</v>
      </c>
      <c r="D584" s="2">
        <v>722197</v>
      </c>
      <c r="E584" t="s">
        <v>13</v>
      </c>
      <c r="F584">
        <v>33.363300000000002</v>
      </c>
      <c r="G584">
        <v>-84.565799999999996</v>
      </c>
      <c r="H584">
        <v>-6</v>
      </c>
      <c r="I584">
        <v>261.5</v>
      </c>
      <c r="J584" t="str">
        <f>HYPERLINK("https://climate.onebuilding.org/WMO_Region_4_North_and_Central_America/USA_United_States_of_America/GA_Georgia/USA_GA_Peachtree.City-Atlanta.Rgnl.AP-Falcon.Field.722197_US.Normals.2006-2020.zip")</f>
        <v>https://climate.onebuilding.org/WMO_Region_4_North_and_Central_America/USA_United_States_of_America/GA_Georgia/USA_GA_Peachtree.City-Atlanta.Rgnl.AP-Falcon.Field.722197_US.Normals.2006-2020.zip</v>
      </c>
    </row>
    <row r="585" spans="1:10" x14ac:dyDescent="0.25">
      <c r="A585" t="s">
        <v>35</v>
      </c>
      <c r="B585" t="s">
        <v>367</v>
      </c>
      <c r="C585" t="s">
        <v>387</v>
      </c>
      <c r="D585" s="2">
        <v>723200</v>
      </c>
      <c r="E585" t="s">
        <v>13</v>
      </c>
      <c r="F585">
        <v>34.347799999999999</v>
      </c>
      <c r="G585">
        <v>-85.161100000000005</v>
      </c>
      <c r="H585">
        <v>-6</v>
      </c>
      <c r="I585">
        <v>194.8</v>
      </c>
      <c r="J585" t="str">
        <f>HYPERLINK("https://climate.onebuilding.org/WMO_Region_4_North_and_Central_America/USA_United_States_of_America/GA_Georgia/USA_GA_Rome-Russell.AP.723200_US.Normals.1991-2020.zip")</f>
        <v>https://climate.onebuilding.org/WMO_Region_4_North_and_Central_America/USA_United_States_of_America/GA_Georgia/USA_GA_Rome-Russell.AP.723200_US.Normals.1991-2020.zip</v>
      </c>
    </row>
    <row r="586" spans="1:10" x14ac:dyDescent="0.25">
      <c r="A586" t="s">
        <v>35</v>
      </c>
      <c r="B586" t="s">
        <v>367</v>
      </c>
      <c r="C586" t="s">
        <v>387</v>
      </c>
      <c r="D586" s="2">
        <v>723200</v>
      </c>
      <c r="E586" t="s">
        <v>13</v>
      </c>
      <c r="F586">
        <v>34.347799999999999</v>
      </c>
      <c r="G586">
        <v>-85.161100000000005</v>
      </c>
      <c r="H586">
        <v>-6</v>
      </c>
      <c r="I586">
        <v>194.8</v>
      </c>
      <c r="J586" t="str">
        <f>HYPERLINK("https://climate.onebuilding.org/WMO_Region_4_North_and_Central_America/USA_United_States_of_America/GA_Georgia/USA_GA_Rome-Russell.AP.723200_US.Normals.2006-2020.zip")</f>
        <v>https://climate.onebuilding.org/WMO_Region_4_North_and_Central_America/USA_United_States_of_America/GA_Georgia/USA_GA_Rome-Russell.AP.723200_US.Normals.2006-2020.zip</v>
      </c>
    </row>
    <row r="587" spans="1:10" x14ac:dyDescent="0.25">
      <c r="A587" t="s">
        <v>35</v>
      </c>
      <c r="B587" t="s">
        <v>367</v>
      </c>
      <c r="C587" t="s">
        <v>388</v>
      </c>
      <c r="D587" s="2">
        <v>722070</v>
      </c>
      <c r="E587" t="s">
        <v>13</v>
      </c>
      <c r="F587">
        <v>32.130000000000003</v>
      </c>
      <c r="G587">
        <v>-81.209999999999994</v>
      </c>
      <c r="H587">
        <v>-5</v>
      </c>
      <c r="I587">
        <v>14</v>
      </c>
      <c r="J587" t="str">
        <f>HYPERLINK("https://climate.onebuilding.org/WMO_Region_4_North_and_Central_America/USA_United_States_of_America/GA_Georgia/USA_GA_Savannah-Hilton.Head.Intl.AP.722070_US.Normals.1981-2010.zip")</f>
        <v>https://climate.onebuilding.org/WMO_Region_4_North_and_Central_America/USA_United_States_of_America/GA_Georgia/USA_GA_Savannah-Hilton.Head.Intl.AP.722070_US.Normals.1981-2010.zip</v>
      </c>
    </row>
    <row r="588" spans="1:10" x14ac:dyDescent="0.25">
      <c r="A588" t="s">
        <v>35</v>
      </c>
      <c r="B588" t="s">
        <v>367</v>
      </c>
      <c r="C588" t="s">
        <v>388</v>
      </c>
      <c r="D588" s="2">
        <v>722070</v>
      </c>
      <c r="E588" t="s">
        <v>13</v>
      </c>
      <c r="F588">
        <v>32.130000000000003</v>
      </c>
      <c r="G588">
        <v>-81.209999999999994</v>
      </c>
      <c r="H588">
        <v>-5</v>
      </c>
      <c r="I588">
        <v>14</v>
      </c>
      <c r="J588" t="str">
        <f>HYPERLINK("https://climate.onebuilding.org/WMO_Region_4_North_and_Central_America/USA_United_States_of_America/GA_Georgia/USA_GA_Savannah-Hilton.Head.Intl.AP.722070_US.Normals.1991-2020.zip")</f>
        <v>https://climate.onebuilding.org/WMO_Region_4_North_and_Central_America/USA_United_States_of_America/GA_Georgia/USA_GA_Savannah-Hilton.Head.Intl.AP.722070_US.Normals.1991-2020.zip</v>
      </c>
    </row>
    <row r="589" spans="1:10" x14ac:dyDescent="0.25">
      <c r="A589" t="s">
        <v>35</v>
      </c>
      <c r="B589" t="s">
        <v>367</v>
      </c>
      <c r="C589" t="s">
        <v>388</v>
      </c>
      <c r="D589" s="2">
        <v>722070</v>
      </c>
      <c r="E589" t="s">
        <v>13</v>
      </c>
      <c r="F589">
        <v>32.130000000000003</v>
      </c>
      <c r="G589">
        <v>-81.209999999999994</v>
      </c>
      <c r="H589">
        <v>-5</v>
      </c>
      <c r="I589">
        <v>14</v>
      </c>
      <c r="J589" t="str">
        <f>HYPERLINK("https://climate.onebuilding.org/WMO_Region_4_North_and_Central_America/USA_United_States_of_America/GA_Georgia/USA_GA_Savannah-Hilton.Head.Intl.AP.722070_US.Normals.2006-2020.zip")</f>
        <v>https://climate.onebuilding.org/WMO_Region_4_North_and_Central_America/USA_United_States_of_America/GA_Georgia/USA_GA_Savannah-Hilton.Head.Intl.AP.722070_US.Normals.2006-2020.zip</v>
      </c>
    </row>
    <row r="590" spans="1:10" x14ac:dyDescent="0.25">
      <c r="A590" t="s">
        <v>35</v>
      </c>
      <c r="B590" t="s">
        <v>367</v>
      </c>
      <c r="C590" t="s">
        <v>389</v>
      </c>
      <c r="D590" s="2">
        <v>747804</v>
      </c>
      <c r="E590" t="s">
        <v>13</v>
      </c>
      <c r="F590">
        <v>32.0167</v>
      </c>
      <c r="G590">
        <v>-81.133300000000006</v>
      </c>
      <c r="H590">
        <v>-5</v>
      </c>
      <c r="I590">
        <v>17.100000000000001</v>
      </c>
      <c r="J590" t="str">
        <f>HYPERLINK("https://climate.onebuilding.org/WMO_Region_4_North_and_Central_America/USA_United_States_of_America/GA_Georgia/USA_GA_Savannah-Hunter.AAF.747804_US.Normals.1991-2020.zip")</f>
        <v>https://climate.onebuilding.org/WMO_Region_4_North_and_Central_America/USA_United_States_of_America/GA_Georgia/USA_GA_Savannah-Hunter.AAF.747804_US.Normals.1991-2020.zip</v>
      </c>
    </row>
    <row r="591" spans="1:10" x14ac:dyDescent="0.25">
      <c r="A591" t="s">
        <v>35</v>
      </c>
      <c r="B591" t="s">
        <v>367</v>
      </c>
      <c r="C591" t="s">
        <v>389</v>
      </c>
      <c r="D591" s="2">
        <v>747804</v>
      </c>
      <c r="E591" t="s">
        <v>13</v>
      </c>
      <c r="F591">
        <v>32.0167</v>
      </c>
      <c r="G591">
        <v>-81.133300000000006</v>
      </c>
      <c r="H591">
        <v>-5</v>
      </c>
      <c r="I591">
        <v>17.100000000000001</v>
      </c>
      <c r="J591" t="str">
        <f>HYPERLINK("https://climate.onebuilding.org/WMO_Region_4_North_and_Central_America/USA_United_States_of_America/GA_Georgia/USA_GA_Savannah-Hunter.AAF.747804_US.Normals.2006-2020.zip")</f>
        <v>https://climate.onebuilding.org/WMO_Region_4_North_and_Central_America/USA_United_States_of_America/GA_Georgia/USA_GA_Savannah-Hunter.AAF.747804_US.Normals.2006-2020.zip</v>
      </c>
    </row>
    <row r="592" spans="1:10" x14ac:dyDescent="0.25">
      <c r="A592" t="s">
        <v>35</v>
      </c>
      <c r="B592" t="s">
        <v>367</v>
      </c>
      <c r="C592" t="s">
        <v>390</v>
      </c>
      <c r="D592" s="2">
        <v>723210</v>
      </c>
      <c r="E592" t="s">
        <v>13</v>
      </c>
      <c r="F592">
        <v>30.8078</v>
      </c>
      <c r="G592">
        <v>-81.459699999999998</v>
      </c>
      <c r="H592">
        <v>-5</v>
      </c>
      <c r="I592">
        <v>7.6</v>
      </c>
      <c r="J592" t="str">
        <f>HYPERLINK("https://climate.onebuilding.org/WMO_Region_4_North_and_Central_America/USA_United_States_of_America/GA_Georgia/USA_GA_Stafford.AP-Cumberland.Island.Natl.Seashore.723210_US.Normals.2006-2020.zip")</f>
        <v>https://climate.onebuilding.org/WMO_Region_4_North_and_Central_America/USA_United_States_of_America/GA_Georgia/USA_GA_Stafford.AP-Cumberland.Island.Natl.Seashore.723210_US.Normals.2006-2020.zip</v>
      </c>
    </row>
    <row r="593" spans="1:10" x14ac:dyDescent="0.25">
      <c r="A593" t="s">
        <v>35</v>
      </c>
      <c r="B593" t="s">
        <v>367</v>
      </c>
      <c r="C593" t="s">
        <v>391</v>
      </c>
      <c r="D593" s="2">
        <v>740060</v>
      </c>
      <c r="E593" t="s">
        <v>13</v>
      </c>
      <c r="F593">
        <v>33.7836</v>
      </c>
      <c r="G593">
        <v>-83.389700000000005</v>
      </c>
      <c r="H593">
        <v>-6</v>
      </c>
      <c r="I593">
        <v>225.9</v>
      </c>
      <c r="J593" t="str">
        <f>HYPERLINK("https://climate.onebuilding.org/WMO_Region_4_North_and_Central_America/USA_United_States_of_America/GA_Georgia/USA_GA_USDA.ARS-Colham.Ferry.Site.740060_US.Normals.2006-2020.zip")</f>
        <v>https://climate.onebuilding.org/WMO_Region_4_North_and_Central_America/USA_United_States_of_America/GA_Georgia/USA_GA_USDA.ARS-Colham.Ferry.Site.740060_US.Normals.2006-2020.zip</v>
      </c>
    </row>
    <row r="594" spans="1:10" x14ac:dyDescent="0.25">
      <c r="A594" t="s">
        <v>35</v>
      </c>
      <c r="B594" t="s">
        <v>367</v>
      </c>
      <c r="C594" t="s">
        <v>392</v>
      </c>
      <c r="D594" s="2">
        <v>747810</v>
      </c>
      <c r="E594" t="s">
        <v>13</v>
      </c>
      <c r="F594">
        <v>30.966699999999999</v>
      </c>
      <c r="G594">
        <v>-83.2</v>
      </c>
      <c r="H594">
        <v>-6</v>
      </c>
      <c r="I594">
        <v>73.2</v>
      </c>
      <c r="J594" t="str">
        <f>HYPERLINK("https://climate.onebuilding.org/WMO_Region_4_North_and_Central_America/USA_United_States_of_America/GA_Georgia/USA_GA_Valdosta-Moody.AFB.747810_US.Normals.1981-2010.zip")</f>
        <v>https://climate.onebuilding.org/WMO_Region_4_North_and_Central_America/USA_United_States_of_America/GA_Georgia/USA_GA_Valdosta-Moody.AFB.747810_US.Normals.1981-2010.zip</v>
      </c>
    </row>
    <row r="595" spans="1:10" x14ac:dyDescent="0.25">
      <c r="A595" t="s">
        <v>35</v>
      </c>
      <c r="B595" t="s">
        <v>367</v>
      </c>
      <c r="C595" t="s">
        <v>392</v>
      </c>
      <c r="D595" s="2">
        <v>747810</v>
      </c>
      <c r="E595" t="s">
        <v>13</v>
      </c>
      <c r="F595">
        <v>30.966699999999999</v>
      </c>
      <c r="G595">
        <v>-83.2</v>
      </c>
      <c r="H595">
        <v>-6</v>
      </c>
      <c r="I595">
        <v>73.2</v>
      </c>
      <c r="J595" t="str">
        <f>HYPERLINK("https://climate.onebuilding.org/WMO_Region_4_North_and_Central_America/USA_United_States_of_America/GA_Georgia/USA_GA_Valdosta-Moody.AFB.747810_US.Normals.1991-2020.zip")</f>
        <v>https://climate.onebuilding.org/WMO_Region_4_North_and_Central_America/USA_United_States_of_America/GA_Georgia/USA_GA_Valdosta-Moody.AFB.747810_US.Normals.1991-2020.zip</v>
      </c>
    </row>
    <row r="596" spans="1:10" x14ac:dyDescent="0.25">
      <c r="A596" t="s">
        <v>35</v>
      </c>
      <c r="B596" t="s">
        <v>367</v>
      </c>
      <c r="C596" t="s">
        <v>392</v>
      </c>
      <c r="D596" s="2">
        <v>747810</v>
      </c>
      <c r="E596" t="s">
        <v>13</v>
      </c>
      <c r="F596">
        <v>30.966699999999999</v>
      </c>
      <c r="G596">
        <v>-83.2</v>
      </c>
      <c r="H596">
        <v>-6</v>
      </c>
      <c r="I596">
        <v>73.2</v>
      </c>
      <c r="J596" t="str">
        <f>HYPERLINK("https://climate.onebuilding.org/WMO_Region_4_North_and_Central_America/USA_United_States_of_America/GA_Georgia/USA_GA_Valdosta-Moody.AFB.747810_US.Normals.2006-2020.zip")</f>
        <v>https://climate.onebuilding.org/WMO_Region_4_North_and_Central_America/USA_United_States_of_America/GA_Georgia/USA_GA_Valdosta-Moody.AFB.747810_US.Normals.2006-2020.zip</v>
      </c>
    </row>
    <row r="597" spans="1:10" x14ac:dyDescent="0.25">
      <c r="A597" t="s">
        <v>35</v>
      </c>
      <c r="B597" t="s">
        <v>367</v>
      </c>
      <c r="C597" t="s">
        <v>393</v>
      </c>
      <c r="D597" s="2">
        <v>722166</v>
      </c>
      <c r="E597" t="s">
        <v>13</v>
      </c>
      <c r="F597">
        <v>30.782499999999999</v>
      </c>
      <c r="G597">
        <v>-83.276700000000005</v>
      </c>
      <c r="H597">
        <v>-6</v>
      </c>
      <c r="I597">
        <v>60.4</v>
      </c>
      <c r="J597" t="str">
        <f>HYPERLINK("https://climate.onebuilding.org/WMO_Region_4_North_and_Central_America/USA_United_States_of_America/GA_Georgia/USA_GA_Valdosta.Rgnl.AP.722166_US.Normals.1981-2010.zip")</f>
        <v>https://climate.onebuilding.org/WMO_Region_4_North_and_Central_America/USA_United_States_of_America/GA_Georgia/USA_GA_Valdosta.Rgnl.AP.722166_US.Normals.1981-2010.zip</v>
      </c>
    </row>
    <row r="598" spans="1:10" x14ac:dyDescent="0.25">
      <c r="A598" t="s">
        <v>35</v>
      </c>
      <c r="B598" t="s">
        <v>367</v>
      </c>
      <c r="C598" t="s">
        <v>393</v>
      </c>
      <c r="D598" s="2">
        <v>722166</v>
      </c>
      <c r="E598" t="s">
        <v>13</v>
      </c>
      <c r="F598">
        <v>30.782499999999999</v>
      </c>
      <c r="G598">
        <v>-83.276700000000005</v>
      </c>
      <c r="H598">
        <v>-6</v>
      </c>
      <c r="I598">
        <v>60.4</v>
      </c>
      <c r="J598" t="str">
        <f>HYPERLINK("https://climate.onebuilding.org/WMO_Region_4_North_and_Central_America/USA_United_States_of_America/GA_Georgia/USA_GA_Valdosta.Rgnl.AP.722166_US.Normals.1991-2020.zip")</f>
        <v>https://climate.onebuilding.org/WMO_Region_4_North_and_Central_America/USA_United_States_of_America/GA_Georgia/USA_GA_Valdosta.Rgnl.AP.722166_US.Normals.1991-2020.zip</v>
      </c>
    </row>
    <row r="599" spans="1:10" x14ac:dyDescent="0.25">
      <c r="A599" t="s">
        <v>35</v>
      </c>
      <c r="B599" t="s">
        <v>367</v>
      </c>
      <c r="C599" t="s">
        <v>393</v>
      </c>
      <c r="D599" s="2">
        <v>722166</v>
      </c>
      <c r="E599" t="s">
        <v>13</v>
      </c>
      <c r="F599">
        <v>30.782499999999999</v>
      </c>
      <c r="G599">
        <v>-83.276700000000005</v>
      </c>
      <c r="H599">
        <v>-6</v>
      </c>
      <c r="I599">
        <v>60.4</v>
      </c>
      <c r="J599" t="str">
        <f>HYPERLINK("https://climate.onebuilding.org/WMO_Region_4_North_and_Central_America/USA_United_States_of_America/GA_Georgia/USA_GA_Valdosta.Rgnl.AP.722166_US.Normals.2006-2020.zip")</f>
        <v>https://climate.onebuilding.org/WMO_Region_4_North_and_Central_America/USA_United_States_of_America/GA_Georgia/USA_GA_Valdosta.Rgnl.AP.722166_US.Normals.2006-2020.zip</v>
      </c>
    </row>
    <row r="600" spans="1:10" x14ac:dyDescent="0.25">
      <c r="A600" t="s">
        <v>35</v>
      </c>
      <c r="B600" t="s">
        <v>367</v>
      </c>
      <c r="C600" t="s">
        <v>394</v>
      </c>
      <c r="D600" s="2">
        <v>722175</v>
      </c>
      <c r="E600" t="s">
        <v>13</v>
      </c>
      <c r="F600">
        <v>32.633299999999998</v>
      </c>
      <c r="G600">
        <v>-83.6</v>
      </c>
      <c r="H600">
        <v>-6</v>
      </c>
      <c r="I600">
        <v>92</v>
      </c>
      <c r="J600" t="str">
        <f>HYPERLINK("https://climate.onebuilding.org/WMO_Region_4_North_and_Central_America/USA_United_States_of_America/GA_Georgia/USA_GA_Warner.Robins-Robins.AFB.722175_US.Normals.1981-2010.zip")</f>
        <v>https://climate.onebuilding.org/WMO_Region_4_North_and_Central_America/USA_United_States_of_America/GA_Georgia/USA_GA_Warner.Robins-Robins.AFB.722175_US.Normals.1981-2010.zip</v>
      </c>
    </row>
    <row r="601" spans="1:10" x14ac:dyDescent="0.25">
      <c r="A601" t="s">
        <v>35</v>
      </c>
      <c r="B601" t="s">
        <v>367</v>
      </c>
      <c r="C601" t="s">
        <v>394</v>
      </c>
      <c r="D601" s="2">
        <v>722175</v>
      </c>
      <c r="E601" t="s">
        <v>13</v>
      </c>
      <c r="F601">
        <v>32.633299999999998</v>
      </c>
      <c r="G601">
        <v>-83.6</v>
      </c>
      <c r="H601">
        <v>-6</v>
      </c>
      <c r="I601">
        <v>92</v>
      </c>
      <c r="J601" t="str">
        <f>HYPERLINK("https://climate.onebuilding.org/WMO_Region_4_North_and_Central_America/USA_United_States_of_America/GA_Georgia/USA_GA_Warner.Robins-Robins.AFB.722175_US.Normals.1991-2020.zip")</f>
        <v>https://climate.onebuilding.org/WMO_Region_4_North_and_Central_America/USA_United_States_of_America/GA_Georgia/USA_GA_Warner.Robins-Robins.AFB.722175_US.Normals.1991-2020.zip</v>
      </c>
    </row>
    <row r="602" spans="1:10" x14ac:dyDescent="0.25">
      <c r="A602" t="s">
        <v>35</v>
      </c>
      <c r="B602" t="s">
        <v>367</v>
      </c>
      <c r="C602" t="s">
        <v>394</v>
      </c>
      <c r="D602" s="2">
        <v>722175</v>
      </c>
      <c r="E602" t="s">
        <v>13</v>
      </c>
      <c r="F602">
        <v>32.633299999999998</v>
      </c>
      <c r="G602">
        <v>-83.6</v>
      </c>
      <c r="H602">
        <v>-6</v>
      </c>
      <c r="I602">
        <v>92</v>
      </c>
      <c r="J602" t="str">
        <f>HYPERLINK("https://climate.onebuilding.org/WMO_Region_4_North_and_Central_America/USA_United_States_of_America/GA_Georgia/USA_GA_Warner.Robins-Robins.AFB.722175_US.Normals.2006-2020.zip")</f>
        <v>https://climate.onebuilding.org/WMO_Region_4_North_and_Central_America/USA_United_States_of_America/GA_Georgia/USA_GA_Warner.Robins-Robins.AFB.722175_US.Normals.2006-2020.zip</v>
      </c>
    </row>
    <row r="603" spans="1:10" x14ac:dyDescent="0.25">
      <c r="A603" t="s">
        <v>35</v>
      </c>
      <c r="B603" t="s">
        <v>367</v>
      </c>
      <c r="C603" t="s">
        <v>395</v>
      </c>
      <c r="D603" s="2">
        <v>722130</v>
      </c>
      <c r="E603" t="s">
        <v>13</v>
      </c>
      <c r="F603">
        <v>31.25</v>
      </c>
      <c r="G603">
        <v>-82.4</v>
      </c>
      <c r="H603">
        <v>-5</v>
      </c>
      <c r="I603">
        <v>42.7</v>
      </c>
      <c r="J603" t="str">
        <f>HYPERLINK("https://climate.onebuilding.org/WMO_Region_4_North_and_Central_America/USA_United_States_of_America/GA_Georgia/USA_GA_Waycross-Ware.County.AP.722130_US.Normals.2006-2020.zip")</f>
        <v>https://climate.onebuilding.org/WMO_Region_4_North_and_Central_America/USA_United_States_of_America/GA_Georgia/USA_GA_Waycross-Ware.County.AP.722130_US.Normals.2006-2020.zip</v>
      </c>
    </row>
    <row r="604" spans="1:10" x14ac:dyDescent="0.25">
      <c r="A604" t="s">
        <v>35</v>
      </c>
      <c r="B604" t="s">
        <v>396</v>
      </c>
      <c r="C604" t="s">
        <v>397</v>
      </c>
      <c r="D604" s="2">
        <v>912960</v>
      </c>
      <c r="E604" t="s">
        <v>13</v>
      </c>
      <c r="F604">
        <v>19.645</v>
      </c>
      <c r="G604">
        <v>-155.08279999999999</v>
      </c>
      <c r="H604">
        <v>-10</v>
      </c>
      <c r="I604">
        <v>189.6</v>
      </c>
      <c r="J604" t="str">
        <f>HYPERLINK("https://climate.onebuilding.org/WMO_Region_5_Southwest_Pacific/USA_United_States_of_America/HI_Hawaii/USA_HI_Hilo-Hawaii.County.912960_US.Normals.2006-2020.zip")</f>
        <v>https://climate.onebuilding.org/WMO_Region_5_Southwest_Pacific/USA_United_States_of_America/HI_Hawaii/USA_HI_Hilo-Hawaii.County.912960_US.Normals.2006-2020.zip</v>
      </c>
    </row>
    <row r="605" spans="1:10" x14ac:dyDescent="0.25">
      <c r="A605" t="s">
        <v>35</v>
      </c>
      <c r="B605" t="s">
        <v>396</v>
      </c>
      <c r="C605" t="s">
        <v>398</v>
      </c>
      <c r="D605" s="2">
        <v>912850</v>
      </c>
      <c r="E605" t="s">
        <v>13</v>
      </c>
      <c r="F605">
        <v>19.719200000000001</v>
      </c>
      <c r="G605">
        <v>-155.0531</v>
      </c>
      <c r="H605">
        <v>-10</v>
      </c>
      <c r="I605">
        <v>11.6</v>
      </c>
      <c r="J605" t="str">
        <f>HYPERLINK("https://climate.onebuilding.org/WMO_Region_5_Southwest_Pacific/USA_United_States_of_America/HI_Hawaii/USA_HI_Hilo.Intl.AP.Hawaii.912850_US.Normals.1981-2010.zip")</f>
        <v>https://climate.onebuilding.org/WMO_Region_5_Southwest_Pacific/USA_United_States_of_America/HI_Hawaii/USA_HI_Hilo.Intl.AP.Hawaii.912850_US.Normals.1981-2010.zip</v>
      </c>
    </row>
    <row r="606" spans="1:10" x14ac:dyDescent="0.25">
      <c r="A606" t="s">
        <v>35</v>
      </c>
      <c r="B606" t="s">
        <v>396</v>
      </c>
      <c r="C606" t="s">
        <v>398</v>
      </c>
      <c r="D606" s="2">
        <v>912850</v>
      </c>
      <c r="E606" t="s">
        <v>13</v>
      </c>
      <c r="F606">
        <v>19.719200000000001</v>
      </c>
      <c r="G606">
        <v>-155.0531</v>
      </c>
      <c r="H606">
        <v>-10</v>
      </c>
      <c r="I606">
        <v>11.6</v>
      </c>
      <c r="J606" t="str">
        <f>HYPERLINK("https://climate.onebuilding.org/WMO_Region_5_Southwest_Pacific/USA_United_States_of_America/HI_Hawaii/USA_HI_Hilo.Intl.AP.Hawaii.912850_US.Normals.1991-2020.zip")</f>
        <v>https://climate.onebuilding.org/WMO_Region_5_Southwest_Pacific/USA_United_States_of_America/HI_Hawaii/USA_HI_Hilo.Intl.AP.Hawaii.912850_US.Normals.1991-2020.zip</v>
      </c>
    </row>
    <row r="607" spans="1:10" x14ac:dyDescent="0.25">
      <c r="A607" t="s">
        <v>35</v>
      </c>
      <c r="B607" t="s">
        <v>396</v>
      </c>
      <c r="C607" t="s">
        <v>398</v>
      </c>
      <c r="D607" s="2">
        <v>912850</v>
      </c>
      <c r="E607" t="s">
        <v>13</v>
      </c>
      <c r="F607">
        <v>19.719200000000001</v>
      </c>
      <c r="G607">
        <v>-155.0531</v>
      </c>
      <c r="H607">
        <v>-10</v>
      </c>
      <c r="I607">
        <v>11.6</v>
      </c>
      <c r="J607" t="str">
        <f>HYPERLINK("https://climate.onebuilding.org/WMO_Region_5_Southwest_Pacific/USA_United_States_of_America/HI_Hawaii/USA_HI_Hilo.Intl.AP.Hawaii.912850_US.Normals.2006-2020.zip")</f>
        <v>https://climate.onebuilding.org/WMO_Region_5_Southwest_Pacific/USA_United_States_of_America/HI_Hawaii/USA_HI_Hilo.Intl.AP.Hawaii.912850_US.Normals.2006-2020.zip</v>
      </c>
    </row>
    <row r="608" spans="1:10" x14ac:dyDescent="0.25">
      <c r="A608" t="s">
        <v>35</v>
      </c>
      <c r="B608" t="s">
        <v>396</v>
      </c>
      <c r="C608" t="s">
        <v>399</v>
      </c>
      <c r="D608" s="2">
        <v>911820</v>
      </c>
      <c r="E608" t="s">
        <v>13</v>
      </c>
      <c r="F608">
        <v>21.323899999999998</v>
      </c>
      <c r="G608">
        <v>-157.92939999999999</v>
      </c>
      <c r="H608">
        <v>-11</v>
      </c>
      <c r="I608">
        <v>2.1</v>
      </c>
      <c r="J608" t="str">
        <f>HYPERLINK("https://climate.onebuilding.org/WMO_Region_5_Southwest_Pacific/USA_United_States_of_America/HI_Hawaii/USA_HI_Honolulu-Inouye.Intl.AP.Oahu.911820_US.Normals.1981-2010.zip")</f>
        <v>https://climate.onebuilding.org/WMO_Region_5_Southwest_Pacific/USA_United_States_of_America/HI_Hawaii/USA_HI_Honolulu-Inouye.Intl.AP.Oahu.911820_US.Normals.1981-2010.zip</v>
      </c>
    </row>
    <row r="609" spans="1:10" x14ac:dyDescent="0.25">
      <c r="A609" t="s">
        <v>35</v>
      </c>
      <c r="B609" t="s">
        <v>396</v>
      </c>
      <c r="C609" t="s">
        <v>399</v>
      </c>
      <c r="D609" s="2">
        <v>911820</v>
      </c>
      <c r="E609" t="s">
        <v>13</v>
      </c>
      <c r="F609">
        <v>21.323899999999998</v>
      </c>
      <c r="G609">
        <v>-157.92939999999999</v>
      </c>
      <c r="H609">
        <v>-11</v>
      </c>
      <c r="I609">
        <v>2.1</v>
      </c>
      <c r="J609" t="str">
        <f>HYPERLINK("https://climate.onebuilding.org/WMO_Region_5_Southwest_Pacific/USA_United_States_of_America/HI_Hawaii/USA_HI_Honolulu-Inouye.Intl.AP.Oahu.911820_US.Normals.1991-2020.zip")</f>
        <v>https://climate.onebuilding.org/WMO_Region_5_Southwest_Pacific/USA_United_States_of_America/HI_Hawaii/USA_HI_Honolulu-Inouye.Intl.AP.Oahu.911820_US.Normals.1991-2020.zip</v>
      </c>
    </row>
    <row r="610" spans="1:10" x14ac:dyDescent="0.25">
      <c r="A610" t="s">
        <v>35</v>
      </c>
      <c r="B610" t="s">
        <v>396</v>
      </c>
      <c r="C610" t="s">
        <v>399</v>
      </c>
      <c r="D610" s="2">
        <v>911820</v>
      </c>
      <c r="E610" t="s">
        <v>13</v>
      </c>
      <c r="F610">
        <v>21.323899999999998</v>
      </c>
      <c r="G610">
        <v>-157.92939999999999</v>
      </c>
      <c r="H610">
        <v>-11</v>
      </c>
      <c r="I610">
        <v>2.1</v>
      </c>
      <c r="J610" t="str">
        <f>HYPERLINK("https://climate.onebuilding.org/WMO_Region_5_Southwest_Pacific/USA_United_States_of_America/HI_Hawaii/USA_HI_Honolulu-Inouye.Intl.AP.Oahu.911820_US.Normals.2006-2020.zip")</f>
        <v>https://climate.onebuilding.org/WMO_Region_5_Southwest_Pacific/USA_United_States_of_America/HI_Hawaii/USA_HI_Honolulu-Inouye.Intl.AP.Oahu.911820_US.Normals.2006-2020.zip</v>
      </c>
    </row>
    <row r="611" spans="1:10" x14ac:dyDescent="0.25">
      <c r="A611" t="s">
        <v>35</v>
      </c>
      <c r="B611" t="s">
        <v>396</v>
      </c>
      <c r="C611" t="s">
        <v>400</v>
      </c>
      <c r="D611" s="2">
        <v>911900</v>
      </c>
      <c r="E611" t="s">
        <v>13</v>
      </c>
      <c r="F611">
        <v>20.899699999999999</v>
      </c>
      <c r="G611">
        <v>-156.42859999999999</v>
      </c>
      <c r="H611">
        <v>-10</v>
      </c>
      <c r="I611">
        <v>15.5</v>
      </c>
      <c r="J611" t="str">
        <f>HYPERLINK("https://climate.onebuilding.org/WMO_Region_5_Southwest_Pacific/USA_United_States_of_America/HI_Hawaii/USA_HI_Kahului.AP.Maui.911900_US.Normals.1991-2020.zip")</f>
        <v>https://climate.onebuilding.org/WMO_Region_5_Southwest_Pacific/USA_United_States_of_America/HI_Hawaii/USA_HI_Kahului.AP.Maui.911900_US.Normals.1991-2020.zip</v>
      </c>
    </row>
    <row r="612" spans="1:10" x14ac:dyDescent="0.25">
      <c r="A612" t="s">
        <v>35</v>
      </c>
      <c r="B612" t="s">
        <v>396</v>
      </c>
      <c r="C612" t="s">
        <v>400</v>
      </c>
      <c r="D612" s="2">
        <v>911900</v>
      </c>
      <c r="E612" t="s">
        <v>13</v>
      </c>
      <c r="F612">
        <v>20.899699999999999</v>
      </c>
      <c r="G612">
        <v>-156.42859999999999</v>
      </c>
      <c r="H612">
        <v>-10</v>
      </c>
      <c r="I612">
        <v>15.5</v>
      </c>
      <c r="J612" t="str">
        <f>HYPERLINK("https://climate.onebuilding.org/WMO_Region_5_Southwest_Pacific/USA_United_States_of_America/HI_Hawaii/USA_HI_Kahului.AP.Maui.911900_US.Normals.2006-2020.zip")</f>
        <v>https://climate.onebuilding.org/WMO_Region_5_Southwest_Pacific/USA_United_States_of_America/HI_Hawaii/USA_HI_Kahului.AP.Maui.911900_US.Normals.2006-2020.zip</v>
      </c>
    </row>
    <row r="613" spans="1:10" x14ac:dyDescent="0.25">
      <c r="A613" t="s">
        <v>35</v>
      </c>
      <c r="B613" t="s">
        <v>396</v>
      </c>
      <c r="C613" t="s">
        <v>401</v>
      </c>
      <c r="D613" s="2">
        <v>911975</v>
      </c>
      <c r="E613" t="s">
        <v>13</v>
      </c>
      <c r="F613">
        <v>19.735600000000002</v>
      </c>
      <c r="G613">
        <v>-156.0489</v>
      </c>
      <c r="H613">
        <v>-10</v>
      </c>
      <c r="I613">
        <v>13.1</v>
      </c>
      <c r="J613" t="str">
        <f>HYPERLINK("https://climate.onebuilding.org/WMO_Region_5_Southwest_Pacific/USA_United_States_of_America/HI_Hawaii/USA_HI_Kona.Intl.AP.Hawaii.911975_US.Normals.2006-2020.zip")</f>
        <v>https://climate.onebuilding.org/WMO_Region_5_Southwest_Pacific/USA_United_States_of_America/HI_Hawaii/USA_HI_Kona.Intl.AP.Hawaii.911975_US.Normals.2006-2020.zip</v>
      </c>
    </row>
    <row r="614" spans="1:10" x14ac:dyDescent="0.25">
      <c r="A614" t="s">
        <v>35</v>
      </c>
      <c r="B614" t="s">
        <v>396</v>
      </c>
      <c r="C614" t="s">
        <v>402</v>
      </c>
      <c r="D614" s="2">
        <v>911905</v>
      </c>
      <c r="E614" t="s">
        <v>13</v>
      </c>
      <c r="F614">
        <v>20.789400000000001</v>
      </c>
      <c r="G614">
        <v>-156.9486</v>
      </c>
      <c r="H614">
        <v>-10</v>
      </c>
      <c r="I614">
        <v>396.2</v>
      </c>
      <c r="J614" t="str">
        <f>HYPERLINK("https://climate.onebuilding.org/WMO_Region_5_Southwest_Pacific/USA_United_States_of_America/HI_Hawaii/USA_HI_Lanai.AP.Maui.911905_US.Normals.2006-2020.zip")</f>
        <v>https://climate.onebuilding.org/WMO_Region_5_Southwest_Pacific/USA_United_States_of_America/HI_Hawaii/USA_HI_Lanai.AP.Maui.911905_US.Normals.2006-2020.zip</v>
      </c>
    </row>
    <row r="615" spans="1:10" x14ac:dyDescent="0.25">
      <c r="A615" t="s">
        <v>35</v>
      </c>
      <c r="B615" t="s">
        <v>396</v>
      </c>
      <c r="C615" t="s">
        <v>403</v>
      </c>
      <c r="D615" s="2">
        <v>911650</v>
      </c>
      <c r="E615" t="s">
        <v>13</v>
      </c>
      <c r="F615">
        <v>21.983899999999998</v>
      </c>
      <c r="G615">
        <v>-159.34049999999999</v>
      </c>
      <c r="H615">
        <v>-11</v>
      </c>
      <c r="I615">
        <v>30.5</v>
      </c>
      <c r="J615" t="str">
        <f>HYPERLINK("https://climate.onebuilding.org/WMO_Region_5_Southwest_Pacific/USA_United_States_of_America/HI_Hawaii/USA_HI_Lihue.AP.Kauai.911650_US.Normals.1981-2010.zip")</f>
        <v>https://climate.onebuilding.org/WMO_Region_5_Southwest_Pacific/USA_United_States_of_America/HI_Hawaii/USA_HI_Lihue.AP.Kauai.911650_US.Normals.1981-2010.zip</v>
      </c>
    </row>
    <row r="616" spans="1:10" x14ac:dyDescent="0.25">
      <c r="A616" t="s">
        <v>35</v>
      </c>
      <c r="B616" t="s">
        <v>396</v>
      </c>
      <c r="C616" t="s">
        <v>403</v>
      </c>
      <c r="D616" s="2">
        <v>911650</v>
      </c>
      <c r="E616" t="s">
        <v>13</v>
      </c>
      <c r="F616">
        <v>21.983899999999998</v>
      </c>
      <c r="G616">
        <v>-159.34049999999999</v>
      </c>
      <c r="H616">
        <v>-11</v>
      </c>
      <c r="I616">
        <v>30.5</v>
      </c>
      <c r="J616" t="str">
        <f>HYPERLINK("https://climate.onebuilding.org/WMO_Region_5_Southwest_Pacific/USA_United_States_of_America/HI_Hawaii/USA_HI_Lihue.AP.Kauai.911650_US.Normals.1991-2020.zip")</f>
        <v>https://climate.onebuilding.org/WMO_Region_5_Southwest_Pacific/USA_United_States_of_America/HI_Hawaii/USA_HI_Lihue.AP.Kauai.911650_US.Normals.1991-2020.zip</v>
      </c>
    </row>
    <row r="617" spans="1:10" x14ac:dyDescent="0.25">
      <c r="A617" t="s">
        <v>35</v>
      </c>
      <c r="B617" t="s">
        <v>396</v>
      </c>
      <c r="C617" t="s">
        <v>403</v>
      </c>
      <c r="D617" s="2">
        <v>911650</v>
      </c>
      <c r="E617" t="s">
        <v>13</v>
      </c>
      <c r="F617">
        <v>21.983899999999998</v>
      </c>
      <c r="G617">
        <v>-159.34049999999999</v>
      </c>
      <c r="H617">
        <v>-11</v>
      </c>
      <c r="I617">
        <v>30.5</v>
      </c>
      <c r="J617" t="str">
        <f>HYPERLINK("https://climate.onebuilding.org/WMO_Region_5_Southwest_Pacific/USA_United_States_of_America/HI_Hawaii/USA_HI_Lihue.AP.Kauai.911650_US.Normals.2006-2020.zip")</f>
        <v>https://climate.onebuilding.org/WMO_Region_5_Southwest_Pacific/USA_United_States_of_America/HI_Hawaii/USA_HI_Lihue.AP.Kauai.911650_US.Normals.2006-2020.zip</v>
      </c>
    </row>
    <row r="618" spans="1:10" x14ac:dyDescent="0.25">
      <c r="A618" t="s">
        <v>35</v>
      </c>
      <c r="B618" t="s">
        <v>396</v>
      </c>
      <c r="C618" t="s">
        <v>404</v>
      </c>
      <c r="D618" s="2">
        <v>912950</v>
      </c>
      <c r="E618" t="s">
        <v>13</v>
      </c>
      <c r="F618">
        <v>19.535299999999999</v>
      </c>
      <c r="G618">
        <v>-155.5761</v>
      </c>
      <c r="H618">
        <v>-10</v>
      </c>
      <c r="I618">
        <v>3407.4</v>
      </c>
      <c r="J618" t="str">
        <f>HYPERLINK("https://climate.onebuilding.org/WMO_Region_5_Southwest_Pacific/USA_United_States_of_America/HI_Hawaii/USA_HI_Mauna.Loa.Obs.Hawaii.912950_US.Normals.2006-2020.zip")</f>
        <v>https://climate.onebuilding.org/WMO_Region_5_Southwest_Pacific/USA_United_States_of_America/HI_Hawaii/USA_HI_Mauna.Loa.Obs.Hawaii.912950_US.Normals.2006-2020.zip</v>
      </c>
    </row>
    <row r="619" spans="1:10" x14ac:dyDescent="0.25">
      <c r="A619" t="s">
        <v>35</v>
      </c>
      <c r="B619" t="s">
        <v>396</v>
      </c>
      <c r="C619" t="s">
        <v>405</v>
      </c>
      <c r="D619" s="2">
        <v>911760</v>
      </c>
      <c r="E619" t="s">
        <v>13</v>
      </c>
      <c r="F619">
        <v>21.45</v>
      </c>
      <c r="G619">
        <v>-157.7833</v>
      </c>
      <c r="H619">
        <v>-11</v>
      </c>
      <c r="I619">
        <v>3</v>
      </c>
      <c r="J619" t="str">
        <f>HYPERLINK("https://climate.onebuilding.org/WMO_Region_5_Southwest_Pacific/USA_United_States_of_America/HI_Hawaii/USA_HI_MCB.Hawaii-Kaneohe.Bay.MCAS.Oahu.911760_US.Normals.1981-2010.zip")</f>
        <v>https://climate.onebuilding.org/WMO_Region_5_Southwest_Pacific/USA_United_States_of_America/HI_Hawaii/USA_HI_MCB.Hawaii-Kaneohe.Bay.MCAS.Oahu.911760_US.Normals.1981-2010.zip</v>
      </c>
    </row>
    <row r="620" spans="1:10" x14ac:dyDescent="0.25">
      <c r="A620" t="s">
        <v>35</v>
      </c>
      <c r="B620" t="s">
        <v>396</v>
      </c>
      <c r="C620" t="s">
        <v>405</v>
      </c>
      <c r="D620" s="2">
        <v>911760</v>
      </c>
      <c r="E620" t="s">
        <v>13</v>
      </c>
      <c r="F620">
        <v>21.45</v>
      </c>
      <c r="G620">
        <v>-157.7833</v>
      </c>
      <c r="H620">
        <v>-11</v>
      </c>
      <c r="I620">
        <v>3</v>
      </c>
      <c r="J620" t="str">
        <f>HYPERLINK("https://climate.onebuilding.org/WMO_Region_5_Southwest_Pacific/USA_United_States_of_America/HI_Hawaii/USA_HI_MCB.Hawaii-Kaneohe.Bay.MCAS.Oahu.911760_US.Normals.1991-2020.zip")</f>
        <v>https://climate.onebuilding.org/WMO_Region_5_Southwest_Pacific/USA_United_States_of_America/HI_Hawaii/USA_HI_MCB.Hawaii-Kaneohe.Bay.MCAS.Oahu.911760_US.Normals.1991-2020.zip</v>
      </c>
    </row>
    <row r="621" spans="1:10" x14ac:dyDescent="0.25">
      <c r="A621" t="s">
        <v>35</v>
      </c>
      <c r="B621" t="s">
        <v>396</v>
      </c>
      <c r="C621" t="s">
        <v>405</v>
      </c>
      <c r="D621" s="2">
        <v>911760</v>
      </c>
      <c r="E621" t="s">
        <v>13</v>
      </c>
      <c r="F621">
        <v>21.45</v>
      </c>
      <c r="G621">
        <v>-157.7833</v>
      </c>
      <c r="H621">
        <v>-11</v>
      </c>
      <c r="I621">
        <v>3</v>
      </c>
      <c r="J621" t="str">
        <f>HYPERLINK("https://climate.onebuilding.org/WMO_Region_5_Southwest_Pacific/USA_United_States_of_America/HI_Hawaii/USA_HI_MCB.Hawaii-Kaneohe.Bay.MCAS.Oahu.911760_US.Normals.2006-2020.zip")</f>
        <v>https://climate.onebuilding.org/WMO_Region_5_Southwest_Pacific/USA_United_States_of_America/HI_Hawaii/USA_HI_MCB.Hawaii-Kaneohe.Bay.MCAS.Oahu.911760_US.Normals.2006-2020.zip</v>
      </c>
    </row>
    <row r="622" spans="1:10" x14ac:dyDescent="0.25">
      <c r="A622" t="s">
        <v>35</v>
      </c>
      <c r="B622" t="s">
        <v>396</v>
      </c>
      <c r="C622" t="s">
        <v>406</v>
      </c>
      <c r="D622" s="2">
        <v>911860</v>
      </c>
      <c r="E622" t="s">
        <v>13</v>
      </c>
      <c r="F622">
        <v>21.154399999999999</v>
      </c>
      <c r="G622">
        <v>-157.09610000000001</v>
      </c>
      <c r="H622">
        <v>-10</v>
      </c>
      <c r="I622">
        <v>135</v>
      </c>
      <c r="J622" t="str">
        <f>HYPERLINK("https://climate.onebuilding.org/WMO_Region_5_Southwest_Pacific/USA_United_States_of_America/HI_Hawaii/USA_HI_Molokai.AP.Molokai.911860_US.Normals.1991-2020.zip")</f>
        <v>https://climate.onebuilding.org/WMO_Region_5_Southwest_Pacific/USA_United_States_of_America/HI_Hawaii/USA_HI_Molokai.AP.Molokai.911860_US.Normals.1991-2020.zip</v>
      </c>
    </row>
    <row r="623" spans="1:10" x14ac:dyDescent="0.25">
      <c r="A623" t="s">
        <v>35</v>
      </c>
      <c r="B623" t="s">
        <v>396</v>
      </c>
      <c r="C623" t="s">
        <v>406</v>
      </c>
      <c r="D623" s="2">
        <v>911860</v>
      </c>
      <c r="E623" t="s">
        <v>13</v>
      </c>
      <c r="F623">
        <v>21.154399999999999</v>
      </c>
      <c r="G623">
        <v>-157.09610000000001</v>
      </c>
      <c r="H623">
        <v>-10</v>
      </c>
      <c r="I623">
        <v>135</v>
      </c>
      <c r="J623" t="str">
        <f>HYPERLINK("https://climate.onebuilding.org/WMO_Region_5_Southwest_Pacific/USA_United_States_of_America/HI_Hawaii/USA_HI_Molokai.AP.Molokai.911860_US.Normals.2006-2020.zip")</f>
        <v>https://climate.onebuilding.org/WMO_Region_5_Southwest_Pacific/USA_United_States_of_America/HI_Hawaii/USA_HI_Molokai.AP.Molokai.911860_US.Normals.2006-2020.zip</v>
      </c>
    </row>
    <row r="624" spans="1:10" x14ac:dyDescent="0.25">
      <c r="A624" t="s">
        <v>35</v>
      </c>
      <c r="B624" t="s">
        <v>396</v>
      </c>
      <c r="C624" t="s">
        <v>407</v>
      </c>
      <c r="D624" s="2">
        <v>911780</v>
      </c>
      <c r="E624" t="s">
        <v>13</v>
      </c>
      <c r="F624">
        <v>21.316700000000001</v>
      </c>
      <c r="G624">
        <v>-158.0667</v>
      </c>
      <c r="H624">
        <v>-11</v>
      </c>
      <c r="I624">
        <v>16.5</v>
      </c>
      <c r="J624" t="str">
        <f>HYPERLINK("https://climate.onebuilding.org/WMO_Region_5_Southwest_Pacific/USA_United_States_of_America/HI_Hawaii/USA_HI_NAS.Barbers.Point.Oahu.911780_US.Normals.2006-2020.zip")</f>
        <v>https://climate.onebuilding.org/WMO_Region_5_Southwest_Pacific/USA_United_States_of_America/HI_Hawaii/USA_HI_NAS.Barbers.Point.Oahu.911780_US.Normals.2006-2020.zip</v>
      </c>
    </row>
    <row r="625" spans="1:10" x14ac:dyDescent="0.25">
      <c r="A625" t="s">
        <v>35</v>
      </c>
      <c r="B625" t="s">
        <v>396</v>
      </c>
      <c r="C625" t="s">
        <v>408</v>
      </c>
      <c r="D625" s="2">
        <v>911700</v>
      </c>
      <c r="E625" t="s">
        <v>13</v>
      </c>
      <c r="F625">
        <v>21.4833</v>
      </c>
      <c r="G625">
        <v>-158.0333</v>
      </c>
      <c r="H625">
        <v>-11</v>
      </c>
      <c r="I625">
        <v>257.89999999999998</v>
      </c>
      <c r="J625" t="str">
        <f>HYPERLINK("https://climate.onebuilding.org/WMO_Region_5_Southwest_Pacific/USA_United_States_of_America/HI_Hawaii/USA_HI_Wheeler.AAF.Oahu.911700_US.Normals.2006-2020.zip")</f>
        <v>https://climate.onebuilding.org/WMO_Region_5_Southwest_Pacific/USA_United_States_of_America/HI_Hawaii/USA_HI_Wheeler.AAF.Oahu.911700_US.Normals.2006-2020.zip</v>
      </c>
    </row>
    <row r="626" spans="1:10" x14ac:dyDescent="0.25">
      <c r="A626" t="s">
        <v>35</v>
      </c>
      <c r="B626" t="s">
        <v>409</v>
      </c>
      <c r="C626" t="s">
        <v>410</v>
      </c>
      <c r="D626" s="2">
        <v>725472</v>
      </c>
      <c r="E626" t="s">
        <v>13</v>
      </c>
      <c r="F626">
        <v>41.992199999999997</v>
      </c>
      <c r="G626">
        <v>-93.621700000000004</v>
      </c>
      <c r="H626">
        <v>-6</v>
      </c>
      <c r="I626">
        <v>283.5</v>
      </c>
      <c r="J626" t="str">
        <f>HYPERLINK("https://climate.onebuilding.org/WMO_Region_4_North_and_Central_America/USA_United_States_of_America/IA_Iowa/USA_IA_Ames.Muni.AP.725472_US.Normals.2006-2020.zip")</f>
        <v>https://climate.onebuilding.org/WMO_Region_4_North_and_Central_America/USA_United_States_of_America/IA_Iowa/USA_IA_Ames.Muni.AP.725472_US.Normals.2006-2020.zip</v>
      </c>
    </row>
    <row r="627" spans="1:10" x14ac:dyDescent="0.25">
      <c r="A627" t="s">
        <v>35</v>
      </c>
      <c r="B627" t="s">
        <v>409</v>
      </c>
      <c r="C627" t="s">
        <v>411</v>
      </c>
      <c r="D627" s="2">
        <v>725453</v>
      </c>
      <c r="E627" t="s">
        <v>13</v>
      </c>
      <c r="F627">
        <v>41.406999999999996</v>
      </c>
      <c r="G627">
        <v>-95.046999999999997</v>
      </c>
      <c r="H627">
        <v>-6</v>
      </c>
      <c r="I627">
        <v>360</v>
      </c>
      <c r="J627" t="str">
        <f>HYPERLINK("https://climate.onebuilding.org/WMO_Region_4_North_and_Central_America/USA_United_States_of_America/IA_Iowa/USA_IA_Atlantic.Muni.AP.725453_US.Normals.2006-2020.zip")</f>
        <v>https://climate.onebuilding.org/WMO_Region_4_North_and_Central_America/USA_United_States_of_America/IA_Iowa/USA_IA_Atlantic.Muni.AP.725453_US.Normals.2006-2020.zip</v>
      </c>
    </row>
    <row r="628" spans="1:10" x14ac:dyDescent="0.25">
      <c r="A628" t="s">
        <v>35</v>
      </c>
      <c r="B628" t="s">
        <v>409</v>
      </c>
      <c r="C628" t="s">
        <v>412</v>
      </c>
      <c r="D628" s="2">
        <v>725420</v>
      </c>
      <c r="E628" t="s">
        <v>13</v>
      </c>
      <c r="F628">
        <v>40.783299999999997</v>
      </c>
      <c r="G628">
        <v>-91.125299999999996</v>
      </c>
      <c r="H628">
        <v>-6</v>
      </c>
      <c r="I628">
        <v>210.9</v>
      </c>
      <c r="J628" t="str">
        <f>HYPERLINK("https://climate.onebuilding.org/WMO_Region_4_North_and_Central_America/USA_United_States_of_America/IA_Iowa/USA_IA_Burlington-Southeast.Iowa.Rgnl.AP.725420_US.Normals.1981-2010.zip")</f>
        <v>https://climate.onebuilding.org/WMO_Region_4_North_and_Central_America/USA_United_States_of_America/IA_Iowa/USA_IA_Burlington-Southeast.Iowa.Rgnl.AP.725420_US.Normals.1981-2010.zip</v>
      </c>
    </row>
    <row r="629" spans="1:10" x14ac:dyDescent="0.25">
      <c r="A629" t="s">
        <v>35</v>
      </c>
      <c r="B629" t="s">
        <v>409</v>
      </c>
      <c r="C629" t="s">
        <v>412</v>
      </c>
      <c r="D629" s="2">
        <v>725420</v>
      </c>
      <c r="E629" t="s">
        <v>13</v>
      </c>
      <c r="F629">
        <v>40.783299999999997</v>
      </c>
      <c r="G629">
        <v>-91.125299999999996</v>
      </c>
      <c r="H629">
        <v>-6</v>
      </c>
      <c r="I629">
        <v>210.9</v>
      </c>
      <c r="J629" t="str">
        <f>HYPERLINK("https://climate.onebuilding.org/WMO_Region_4_North_and_Central_America/USA_United_States_of_America/IA_Iowa/USA_IA_Burlington-Southeast.Iowa.Rgnl.AP.725420_US.Normals.2006-2020.zip")</f>
        <v>https://climate.onebuilding.org/WMO_Region_4_North_and_Central_America/USA_United_States_of_America/IA_Iowa/USA_IA_Burlington-Southeast.Iowa.Rgnl.AP.725420_US.Normals.2006-2020.zip</v>
      </c>
    </row>
    <row r="630" spans="1:10" x14ac:dyDescent="0.25">
      <c r="A630" t="s">
        <v>35</v>
      </c>
      <c r="B630" t="s">
        <v>409</v>
      </c>
      <c r="C630" t="s">
        <v>413</v>
      </c>
      <c r="D630" s="2">
        <v>725450</v>
      </c>
      <c r="E630" t="s">
        <v>13</v>
      </c>
      <c r="F630">
        <v>41.883299999999998</v>
      </c>
      <c r="G630">
        <v>-91.716700000000003</v>
      </c>
      <c r="H630">
        <v>-6</v>
      </c>
      <c r="I630">
        <v>264.60000000000002</v>
      </c>
      <c r="J630" t="str">
        <f>HYPERLINK("https://climate.onebuilding.org/WMO_Region_4_North_and_Central_America/USA_United_States_of_America/IA_Iowa/USA_IA_Cedar.Rapids-Eastern.Iowa.AP.725450_US.Normals.1981-2010.zip")</f>
        <v>https://climate.onebuilding.org/WMO_Region_4_North_and_Central_America/USA_United_States_of_America/IA_Iowa/USA_IA_Cedar.Rapids-Eastern.Iowa.AP.725450_US.Normals.1981-2010.zip</v>
      </c>
    </row>
    <row r="631" spans="1:10" x14ac:dyDescent="0.25">
      <c r="A631" t="s">
        <v>35</v>
      </c>
      <c r="B631" t="s">
        <v>409</v>
      </c>
      <c r="C631" t="s">
        <v>413</v>
      </c>
      <c r="D631" s="2">
        <v>725450</v>
      </c>
      <c r="E631" t="s">
        <v>13</v>
      </c>
      <c r="F631">
        <v>41.883299999999998</v>
      </c>
      <c r="G631">
        <v>-91.716700000000003</v>
      </c>
      <c r="H631">
        <v>-6</v>
      </c>
      <c r="I631">
        <v>264.60000000000002</v>
      </c>
      <c r="J631" t="str">
        <f>HYPERLINK("https://climate.onebuilding.org/WMO_Region_4_North_and_Central_America/USA_United_States_of_America/IA_Iowa/USA_IA_Cedar.Rapids-Eastern.Iowa.AP.725450_US.Normals.1991-2020.zip")</f>
        <v>https://climate.onebuilding.org/WMO_Region_4_North_and_Central_America/USA_United_States_of_America/IA_Iowa/USA_IA_Cedar.Rapids-Eastern.Iowa.AP.725450_US.Normals.1991-2020.zip</v>
      </c>
    </row>
    <row r="632" spans="1:10" x14ac:dyDescent="0.25">
      <c r="A632" t="s">
        <v>35</v>
      </c>
      <c r="B632" t="s">
        <v>409</v>
      </c>
      <c r="C632" t="s">
        <v>413</v>
      </c>
      <c r="D632" s="2">
        <v>725450</v>
      </c>
      <c r="E632" t="s">
        <v>13</v>
      </c>
      <c r="F632">
        <v>41.883299999999998</v>
      </c>
      <c r="G632">
        <v>-91.716700000000003</v>
      </c>
      <c r="H632">
        <v>-6</v>
      </c>
      <c r="I632">
        <v>264.60000000000002</v>
      </c>
      <c r="J632" t="str">
        <f>HYPERLINK("https://climate.onebuilding.org/WMO_Region_4_North_and_Central_America/USA_United_States_of_America/IA_Iowa/USA_IA_Cedar.Rapids-Eastern.Iowa.AP.725450_US.Normals.2006-2020.zip")</f>
        <v>https://climate.onebuilding.org/WMO_Region_4_North_and_Central_America/USA_United_States_of_America/IA_Iowa/USA_IA_Cedar.Rapids-Eastern.Iowa.AP.725450_US.Normals.2006-2020.zip</v>
      </c>
    </row>
    <row r="633" spans="1:10" x14ac:dyDescent="0.25">
      <c r="A633" t="s">
        <v>35</v>
      </c>
      <c r="B633" t="s">
        <v>409</v>
      </c>
      <c r="C633" t="s">
        <v>414</v>
      </c>
      <c r="D633" s="2">
        <v>744550</v>
      </c>
      <c r="E633" t="s">
        <v>13</v>
      </c>
      <c r="F633">
        <v>41.611699999999999</v>
      </c>
      <c r="G633">
        <v>-90.580799999999996</v>
      </c>
      <c r="H633">
        <v>-6</v>
      </c>
      <c r="I633">
        <v>229.8</v>
      </c>
      <c r="J633" t="str">
        <f>HYPERLINK("https://climate.onebuilding.org/WMO_Region_4_North_and_Central_America/USA_United_States_of_America/IA_Iowa/USA_IA_Davenport.Muni.AP.744550_US.Normals.2006-2020.zip")</f>
        <v>https://climate.onebuilding.org/WMO_Region_4_North_and_Central_America/USA_United_States_of_America/IA_Iowa/USA_IA_Davenport.Muni.AP.744550_US.Normals.2006-2020.zip</v>
      </c>
    </row>
    <row r="634" spans="1:10" x14ac:dyDescent="0.25">
      <c r="A634" t="s">
        <v>35</v>
      </c>
      <c r="B634" t="s">
        <v>409</v>
      </c>
      <c r="C634" t="s">
        <v>415</v>
      </c>
      <c r="D634" s="2">
        <v>725460</v>
      </c>
      <c r="E634" t="s">
        <v>13</v>
      </c>
      <c r="F634">
        <v>41.533900000000003</v>
      </c>
      <c r="G634">
        <v>-93.653099999999995</v>
      </c>
      <c r="H634">
        <v>-6</v>
      </c>
      <c r="I634">
        <v>291.7</v>
      </c>
      <c r="J634" t="str">
        <f>HYPERLINK("https://climate.onebuilding.org/WMO_Region_4_North_and_Central_America/USA_United_States_of_America/IA_Iowa/USA_IA_Des.Moines.Intl.AP.725460_US.Normals.1981-2010.zip")</f>
        <v>https://climate.onebuilding.org/WMO_Region_4_North_and_Central_America/USA_United_States_of_America/IA_Iowa/USA_IA_Des.Moines.Intl.AP.725460_US.Normals.1981-2010.zip</v>
      </c>
    </row>
    <row r="635" spans="1:10" x14ac:dyDescent="0.25">
      <c r="A635" t="s">
        <v>35</v>
      </c>
      <c r="B635" t="s">
        <v>409</v>
      </c>
      <c r="C635" t="s">
        <v>415</v>
      </c>
      <c r="D635" s="2">
        <v>725460</v>
      </c>
      <c r="E635" t="s">
        <v>13</v>
      </c>
      <c r="F635">
        <v>41.533900000000003</v>
      </c>
      <c r="G635">
        <v>-93.653099999999995</v>
      </c>
      <c r="H635">
        <v>-6</v>
      </c>
      <c r="I635">
        <v>291.7</v>
      </c>
      <c r="J635" t="str">
        <f>HYPERLINK("https://climate.onebuilding.org/WMO_Region_4_North_and_Central_America/USA_United_States_of_America/IA_Iowa/USA_IA_Des.Moines.Intl.AP.725460_US.Normals.1991-2020.zip")</f>
        <v>https://climate.onebuilding.org/WMO_Region_4_North_and_Central_America/USA_United_States_of_America/IA_Iowa/USA_IA_Des.Moines.Intl.AP.725460_US.Normals.1991-2020.zip</v>
      </c>
    </row>
    <row r="636" spans="1:10" x14ac:dyDescent="0.25">
      <c r="A636" t="s">
        <v>35</v>
      </c>
      <c r="B636" t="s">
        <v>409</v>
      </c>
      <c r="C636" t="s">
        <v>415</v>
      </c>
      <c r="D636" s="2">
        <v>725460</v>
      </c>
      <c r="E636" t="s">
        <v>13</v>
      </c>
      <c r="F636">
        <v>41.533900000000003</v>
      </c>
      <c r="G636">
        <v>-93.653099999999995</v>
      </c>
      <c r="H636">
        <v>-6</v>
      </c>
      <c r="I636">
        <v>291.7</v>
      </c>
      <c r="J636" t="str">
        <f>HYPERLINK("https://climate.onebuilding.org/WMO_Region_4_North_and_Central_America/USA_United_States_of_America/IA_Iowa/USA_IA_Des.Moines.Intl.AP.725460_US.Normals.2006-2020.zip")</f>
        <v>https://climate.onebuilding.org/WMO_Region_4_North_and_Central_America/USA_United_States_of_America/IA_Iowa/USA_IA_Des.Moines.Intl.AP.725460_US.Normals.2006-2020.zip</v>
      </c>
    </row>
    <row r="637" spans="1:10" x14ac:dyDescent="0.25">
      <c r="A637" t="s">
        <v>35</v>
      </c>
      <c r="B637" t="s">
        <v>409</v>
      </c>
      <c r="C637" t="s">
        <v>416</v>
      </c>
      <c r="D637" s="2">
        <v>725470</v>
      </c>
      <c r="E637" t="s">
        <v>13</v>
      </c>
      <c r="F637">
        <v>42.397799999999997</v>
      </c>
      <c r="G637">
        <v>-90.703599999999994</v>
      </c>
      <c r="H637">
        <v>-6</v>
      </c>
      <c r="I637">
        <v>321.89999999999998</v>
      </c>
      <c r="J637" t="str">
        <f>HYPERLINK("https://climate.onebuilding.org/WMO_Region_4_North_and_Central_America/USA_United_States_of_America/IA_Iowa/USA_IA_Dubuque.Rgnl.AP.725470_US.Normals.1991-2020.zip")</f>
        <v>https://climate.onebuilding.org/WMO_Region_4_North_and_Central_America/USA_United_States_of_America/IA_Iowa/USA_IA_Dubuque.Rgnl.AP.725470_US.Normals.1991-2020.zip</v>
      </c>
    </row>
    <row r="638" spans="1:10" x14ac:dyDescent="0.25">
      <c r="A638" t="s">
        <v>35</v>
      </c>
      <c r="B638" t="s">
        <v>409</v>
      </c>
      <c r="C638" t="s">
        <v>416</v>
      </c>
      <c r="D638" s="2">
        <v>725470</v>
      </c>
      <c r="E638" t="s">
        <v>13</v>
      </c>
      <c r="F638">
        <v>42.397799999999997</v>
      </c>
      <c r="G638">
        <v>-90.703599999999994</v>
      </c>
      <c r="H638">
        <v>-6</v>
      </c>
      <c r="I638">
        <v>321.89999999999998</v>
      </c>
      <c r="J638" t="str">
        <f>HYPERLINK("https://climate.onebuilding.org/WMO_Region_4_North_and_Central_America/USA_United_States_of_America/IA_Iowa/USA_IA_Dubuque.Rgnl.AP.725470_US.Normals.2006-2020.zip")</f>
        <v>https://climate.onebuilding.org/WMO_Region_4_North_and_Central_America/USA_United_States_of_America/IA_Iowa/USA_IA_Dubuque.Rgnl.AP.725470_US.Normals.2006-2020.zip</v>
      </c>
    </row>
    <row r="639" spans="1:10" x14ac:dyDescent="0.25">
      <c r="A639" t="s">
        <v>35</v>
      </c>
      <c r="B639" t="s">
        <v>409</v>
      </c>
      <c r="C639" t="s">
        <v>417</v>
      </c>
      <c r="D639" s="2">
        <v>726499</v>
      </c>
      <c r="E639" t="s">
        <v>13</v>
      </c>
      <c r="F639">
        <v>43.407499999999999</v>
      </c>
      <c r="G639">
        <v>-94.746099999999998</v>
      </c>
      <c r="H639">
        <v>-6</v>
      </c>
      <c r="I639">
        <v>401.4</v>
      </c>
      <c r="J639" t="str">
        <f>HYPERLINK("https://climate.onebuilding.org/WMO_Region_4_North_and_Central_America/USA_United_States_of_America/IA_Iowa/USA_IA_Estherville.Muni.AP.726499_US.Normals.2006-2020.zip")</f>
        <v>https://climate.onebuilding.org/WMO_Region_4_North_and_Central_America/USA_United_States_of_America/IA_Iowa/USA_IA_Estherville.Muni.AP.726499_US.Normals.2006-2020.zip</v>
      </c>
    </row>
    <row r="640" spans="1:10" x14ac:dyDescent="0.25">
      <c r="A640" t="s">
        <v>35</v>
      </c>
      <c r="B640" t="s">
        <v>409</v>
      </c>
      <c r="C640" t="s">
        <v>418</v>
      </c>
      <c r="D640" s="2">
        <v>725462</v>
      </c>
      <c r="E640" t="s">
        <v>13</v>
      </c>
      <c r="F640">
        <v>41.632800000000003</v>
      </c>
      <c r="G640">
        <v>-91.543099999999995</v>
      </c>
      <c r="H640">
        <v>-6</v>
      </c>
      <c r="I640">
        <v>198.1</v>
      </c>
      <c r="J640" t="str">
        <f>HYPERLINK("https://climate.onebuilding.org/WMO_Region_4_North_and_Central_America/USA_United_States_of_America/IA_Iowa/USA_IA_Iowa.City.Muni.AP.725462_US.Normals.2006-2020.zip")</f>
        <v>https://climate.onebuilding.org/WMO_Region_4_North_and_Central_America/USA_United_States_of_America/IA_Iowa/USA_IA_Iowa.City.Muni.AP.725462_US.Normals.2006-2020.zip</v>
      </c>
    </row>
    <row r="641" spans="1:10" x14ac:dyDescent="0.25">
      <c r="A641" t="s">
        <v>35</v>
      </c>
      <c r="B641" t="s">
        <v>409</v>
      </c>
      <c r="C641" t="s">
        <v>419</v>
      </c>
      <c r="D641" s="2">
        <v>725499</v>
      </c>
      <c r="E641" t="s">
        <v>13</v>
      </c>
      <c r="F641">
        <v>40.633099999999999</v>
      </c>
      <c r="G641">
        <v>-93.901899999999998</v>
      </c>
      <c r="H641">
        <v>-6</v>
      </c>
      <c r="I641">
        <v>344.7</v>
      </c>
      <c r="J641" t="str">
        <f>HYPERLINK("https://climate.onebuilding.org/WMO_Region_4_North_and_Central_America/USA_United_States_of_America/IA_Iowa/USA_IA_Lamoni.Muni.AP.725499_US.Normals.2006-2020.zip")</f>
        <v>https://climate.onebuilding.org/WMO_Region_4_North_and_Central_America/USA_United_States_of_America/IA_Iowa/USA_IA_Lamoni.Muni.AP.725499_US.Normals.2006-2020.zip</v>
      </c>
    </row>
    <row r="642" spans="1:10" x14ac:dyDescent="0.25">
      <c r="A642" t="s">
        <v>35</v>
      </c>
      <c r="B642" t="s">
        <v>409</v>
      </c>
      <c r="C642" t="s">
        <v>420</v>
      </c>
      <c r="D642" s="2">
        <v>725461</v>
      </c>
      <c r="E642" t="s">
        <v>13</v>
      </c>
      <c r="F642">
        <v>42.1128</v>
      </c>
      <c r="G642">
        <v>-92.917500000000004</v>
      </c>
      <c r="H642">
        <v>-6</v>
      </c>
      <c r="I642">
        <v>296.89999999999998</v>
      </c>
      <c r="J642" t="str">
        <f>HYPERLINK("https://climate.onebuilding.org/WMO_Region_4_North_and_Central_America/USA_United_States_of_America/IA_Iowa/USA_IA_Marshalltown.Muni.AP.725461_US.Normals.2006-2020.zip")</f>
        <v>https://climate.onebuilding.org/WMO_Region_4_North_and_Central_America/USA_United_States_of_America/IA_Iowa/USA_IA_Marshalltown.Muni.AP.725461_US.Normals.2006-2020.zip</v>
      </c>
    </row>
    <row r="643" spans="1:10" x14ac:dyDescent="0.25">
      <c r="A643" t="s">
        <v>35</v>
      </c>
      <c r="B643" t="s">
        <v>409</v>
      </c>
      <c r="C643" t="s">
        <v>421</v>
      </c>
      <c r="D643" s="2">
        <v>725485</v>
      </c>
      <c r="E643" t="s">
        <v>13</v>
      </c>
      <c r="F643">
        <v>43.154400000000003</v>
      </c>
      <c r="G643">
        <v>-93.326899999999995</v>
      </c>
      <c r="H643">
        <v>-6</v>
      </c>
      <c r="I643">
        <v>373.4</v>
      </c>
      <c r="J643" t="str">
        <f>HYPERLINK("https://climate.onebuilding.org/WMO_Region_4_North_and_Central_America/USA_United_States_of_America/IA_Iowa/USA_IA_Mason.City.Muni.AP.725485_US.Normals.1981-2010.zip")</f>
        <v>https://climate.onebuilding.org/WMO_Region_4_North_and_Central_America/USA_United_States_of_America/IA_Iowa/USA_IA_Mason.City.Muni.AP.725485_US.Normals.1981-2010.zip</v>
      </c>
    </row>
    <row r="644" spans="1:10" x14ac:dyDescent="0.25">
      <c r="A644" t="s">
        <v>35</v>
      </c>
      <c r="B644" t="s">
        <v>409</v>
      </c>
      <c r="C644" t="s">
        <v>421</v>
      </c>
      <c r="D644" s="2">
        <v>725485</v>
      </c>
      <c r="E644" t="s">
        <v>13</v>
      </c>
      <c r="F644">
        <v>43.154400000000003</v>
      </c>
      <c r="G644">
        <v>-93.326899999999995</v>
      </c>
      <c r="H644">
        <v>-6</v>
      </c>
      <c r="I644">
        <v>373.4</v>
      </c>
      <c r="J644" t="str">
        <f>HYPERLINK("https://climate.onebuilding.org/WMO_Region_4_North_and_Central_America/USA_United_States_of_America/IA_Iowa/USA_IA_Mason.City.Muni.AP.725485_US.Normals.1991-2020.zip")</f>
        <v>https://climate.onebuilding.org/WMO_Region_4_North_and_Central_America/USA_United_States_of_America/IA_Iowa/USA_IA_Mason.City.Muni.AP.725485_US.Normals.1991-2020.zip</v>
      </c>
    </row>
    <row r="645" spans="1:10" x14ac:dyDescent="0.25">
      <c r="A645" t="s">
        <v>35</v>
      </c>
      <c r="B645" t="s">
        <v>409</v>
      </c>
      <c r="C645" t="s">
        <v>421</v>
      </c>
      <c r="D645" s="2">
        <v>725485</v>
      </c>
      <c r="E645" t="s">
        <v>13</v>
      </c>
      <c r="F645">
        <v>43.154400000000003</v>
      </c>
      <c r="G645">
        <v>-93.326899999999995</v>
      </c>
      <c r="H645">
        <v>-6</v>
      </c>
      <c r="I645">
        <v>373.4</v>
      </c>
      <c r="J645" t="str">
        <f>HYPERLINK("https://climate.onebuilding.org/WMO_Region_4_North_and_Central_America/USA_United_States_of_America/IA_Iowa/USA_IA_Mason.City.Muni.AP.725485_US.Normals.2006-2020.zip")</f>
        <v>https://climate.onebuilding.org/WMO_Region_4_North_and_Central_America/USA_United_States_of_America/IA_Iowa/USA_IA_Mason.City.Muni.AP.725485_US.Normals.2006-2020.zip</v>
      </c>
    </row>
    <row r="646" spans="1:10" x14ac:dyDescent="0.25">
      <c r="A646" t="s">
        <v>35</v>
      </c>
      <c r="B646" t="s">
        <v>409</v>
      </c>
      <c r="C646" t="s">
        <v>422</v>
      </c>
      <c r="D646" s="2">
        <v>725465</v>
      </c>
      <c r="E646" t="s">
        <v>13</v>
      </c>
      <c r="F646">
        <v>41.107799999999997</v>
      </c>
      <c r="G646">
        <v>-92.446700000000007</v>
      </c>
      <c r="H646">
        <v>-6</v>
      </c>
      <c r="I646">
        <v>256.60000000000002</v>
      </c>
      <c r="J646" t="str">
        <f>HYPERLINK("https://climate.onebuilding.org/WMO_Region_4_North_and_Central_America/USA_United_States_of_America/IA_Iowa/USA_IA_Ottumwa.Rgnl.AP.725465_US.Normals.1981-2010.zip")</f>
        <v>https://climate.onebuilding.org/WMO_Region_4_North_and_Central_America/USA_United_States_of_America/IA_Iowa/USA_IA_Ottumwa.Rgnl.AP.725465_US.Normals.1981-2010.zip</v>
      </c>
    </row>
    <row r="647" spans="1:10" x14ac:dyDescent="0.25">
      <c r="A647" t="s">
        <v>35</v>
      </c>
      <c r="B647" t="s">
        <v>409</v>
      </c>
      <c r="C647" t="s">
        <v>422</v>
      </c>
      <c r="D647" s="2">
        <v>725465</v>
      </c>
      <c r="E647" t="s">
        <v>13</v>
      </c>
      <c r="F647">
        <v>41.107799999999997</v>
      </c>
      <c r="G647">
        <v>-92.446700000000007</v>
      </c>
      <c r="H647">
        <v>-6</v>
      </c>
      <c r="I647">
        <v>256.60000000000002</v>
      </c>
      <c r="J647" t="str">
        <f>HYPERLINK("https://climate.onebuilding.org/WMO_Region_4_North_and_Central_America/USA_United_States_of_America/IA_Iowa/USA_IA_Ottumwa.Rgnl.AP.725465_US.Normals.1991-2020.zip")</f>
        <v>https://climate.onebuilding.org/WMO_Region_4_North_and_Central_America/USA_United_States_of_America/IA_Iowa/USA_IA_Ottumwa.Rgnl.AP.725465_US.Normals.1991-2020.zip</v>
      </c>
    </row>
    <row r="648" spans="1:10" x14ac:dyDescent="0.25">
      <c r="A648" t="s">
        <v>35</v>
      </c>
      <c r="B648" t="s">
        <v>409</v>
      </c>
      <c r="C648" t="s">
        <v>422</v>
      </c>
      <c r="D648" s="2">
        <v>725465</v>
      </c>
      <c r="E648" t="s">
        <v>13</v>
      </c>
      <c r="F648">
        <v>41.107799999999997</v>
      </c>
      <c r="G648">
        <v>-92.446700000000007</v>
      </c>
      <c r="H648">
        <v>-6</v>
      </c>
      <c r="I648">
        <v>256.60000000000002</v>
      </c>
      <c r="J648" t="str">
        <f>HYPERLINK("https://climate.onebuilding.org/WMO_Region_4_North_and_Central_America/USA_United_States_of_America/IA_Iowa/USA_IA_Ottumwa.Rgnl.AP.725465_US.Normals.2006-2020.zip")</f>
        <v>https://climate.onebuilding.org/WMO_Region_4_North_and_Central_America/USA_United_States_of_America/IA_Iowa/USA_IA_Ottumwa.Rgnl.AP.725465_US.Normals.2006-2020.zip</v>
      </c>
    </row>
    <row r="649" spans="1:10" x14ac:dyDescent="0.25">
      <c r="A649" t="s">
        <v>35</v>
      </c>
      <c r="B649" t="s">
        <v>409</v>
      </c>
      <c r="C649" t="s">
        <v>423</v>
      </c>
      <c r="D649" s="2">
        <v>744480</v>
      </c>
      <c r="E649" t="s">
        <v>13</v>
      </c>
      <c r="F649">
        <v>41.556100000000001</v>
      </c>
      <c r="G649">
        <v>-93.285600000000002</v>
      </c>
      <c r="H649">
        <v>-6</v>
      </c>
      <c r="I649">
        <v>280.7</v>
      </c>
      <c r="J649" t="str">
        <f>HYPERLINK("https://climate.onebuilding.org/WMO_Region_4_North_and_Central_America/USA_United_States_of_America/IA_Iowa/USA_IA_Prairie.City-Smith.Natl.Wildlife.Refuge.744480_US.Normals.2006-2020.zip")</f>
        <v>https://climate.onebuilding.org/WMO_Region_4_North_and_Central_America/USA_United_States_of_America/IA_Iowa/USA_IA_Prairie.City-Smith.Natl.Wildlife.Refuge.744480_US.Normals.2006-2020.zip</v>
      </c>
    </row>
    <row r="650" spans="1:10" x14ac:dyDescent="0.25">
      <c r="A650" t="s">
        <v>35</v>
      </c>
      <c r="B650" t="s">
        <v>409</v>
      </c>
      <c r="C650" t="s">
        <v>424</v>
      </c>
      <c r="D650" s="2">
        <v>725570</v>
      </c>
      <c r="E650" t="s">
        <v>13</v>
      </c>
      <c r="F650">
        <v>42.391399999999997</v>
      </c>
      <c r="G650">
        <v>-96.379199999999997</v>
      </c>
      <c r="H650">
        <v>-6</v>
      </c>
      <c r="I650">
        <v>333.8</v>
      </c>
      <c r="J650" t="str">
        <f>HYPERLINK("https://climate.onebuilding.org/WMO_Region_4_North_and_Central_America/USA_United_States_of_America/IA_Iowa/USA_IA_Sioux.City-Sioux.Gateway.AP.725570_US.Normals.1981-2010.zip")</f>
        <v>https://climate.onebuilding.org/WMO_Region_4_North_and_Central_America/USA_United_States_of_America/IA_Iowa/USA_IA_Sioux.City-Sioux.Gateway.AP.725570_US.Normals.1981-2010.zip</v>
      </c>
    </row>
    <row r="651" spans="1:10" x14ac:dyDescent="0.25">
      <c r="A651" t="s">
        <v>35</v>
      </c>
      <c r="B651" t="s">
        <v>409</v>
      </c>
      <c r="C651" t="s">
        <v>424</v>
      </c>
      <c r="D651" s="2">
        <v>725570</v>
      </c>
      <c r="E651" t="s">
        <v>13</v>
      </c>
      <c r="F651">
        <v>42.391399999999997</v>
      </c>
      <c r="G651">
        <v>-96.379199999999997</v>
      </c>
      <c r="H651">
        <v>-6</v>
      </c>
      <c r="I651">
        <v>333.8</v>
      </c>
      <c r="J651" t="str">
        <f>HYPERLINK("https://climate.onebuilding.org/WMO_Region_4_North_and_Central_America/USA_United_States_of_America/IA_Iowa/USA_IA_Sioux.City-Sioux.Gateway.AP.725570_US.Normals.1991-2020.zip")</f>
        <v>https://climate.onebuilding.org/WMO_Region_4_North_and_Central_America/USA_United_States_of_America/IA_Iowa/USA_IA_Sioux.City-Sioux.Gateway.AP.725570_US.Normals.1991-2020.zip</v>
      </c>
    </row>
    <row r="652" spans="1:10" x14ac:dyDescent="0.25">
      <c r="A652" t="s">
        <v>35</v>
      </c>
      <c r="B652" t="s">
        <v>409</v>
      </c>
      <c r="C652" t="s">
        <v>424</v>
      </c>
      <c r="D652" s="2">
        <v>725570</v>
      </c>
      <c r="E652" t="s">
        <v>13</v>
      </c>
      <c r="F652">
        <v>42.391399999999997</v>
      </c>
      <c r="G652">
        <v>-96.379199999999997</v>
      </c>
      <c r="H652">
        <v>-6</v>
      </c>
      <c r="I652">
        <v>333.8</v>
      </c>
      <c r="J652" t="str">
        <f>HYPERLINK("https://climate.onebuilding.org/WMO_Region_4_North_and_Central_America/USA_United_States_of_America/IA_Iowa/USA_IA_Sioux.City-Sioux.Gateway.AP.725570_US.Normals.2006-2020.zip")</f>
        <v>https://climate.onebuilding.org/WMO_Region_4_North_and_Central_America/USA_United_States_of_America/IA_Iowa/USA_IA_Sioux.City-Sioux.Gateway.AP.725570_US.Normals.2006-2020.zip</v>
      </c>
    </row>
    <row r="653" spans="1:10" x14ac:dyDescent="0.25">
      <c r="A653" t="s">
        <v>35</v>
      </c>
      <c r="B653" t="s">
        <v>409</v>
      </c>
      <c r="C653" t="s">
        <v>425</v>
      </c>
      <c r="D653" s="2">
        <v>726500</v>
      </c>
      <c r="E653" t="s">
        <v>13</v>
      </c>
      <c r="F653">
        <v>43.164400000000001</v>
      </c>
      <c r="G653">
        <v>-95.201700000000002</v>
      </c>
      <c r="H653">
        <v>-6</v>
      </c>
      <c r="I653">
        <v>407.8</v>
      </c>
      <c r="J653" t="str">
        <f>HYPERLINK("https://climate.onebuilding.org/WMO_Region_4_North_and_Central_America/USA_United_States_of_America/IA_Iowa/USA_IA_Spencer.Muni.AP.726500_US.Normals.2006-2020.zip")</f>
        <v>https://climate.onebuilding.org/WMO_Region_4_North_and_Central_America/USA_United_States_of_America/IA_Iowa/USA_IA_Spencer.Muni.AP.726500_US.Normals.2006-2020.zip</v>
      </c>
    </row>
    <row r="654" spans="1:10" x14ac:dyDescent="0.25">
      <c r="A654" t="s">
        <v>35</v>
      </c>
      <c r="B654" t="s">
        <v>409</v>
      </c>
      <c r="C654" t="s">
        <v>426</v>
      </c>
      <c r="D654" s="2">
        <v>725480</v>
      </c>
      <c r="E654" t="s">
        <v>13</v>
      </c>
      <c r="F654">
        <v>42.554400000000001</v>
      </c>
      <c r="G654">
        <v>-92.4011</v>
      </c>
      <c r="H654">
        <v>-6</v>
      </c>
      <c r="I654">
        <v>264.60000000000002</v>
      </c>
      <c r="J654" t="str">
        <f>HYPERLINK("https://climate.onebuilding.org/WMO_Region_4_North_and_Central_America/USA_United_States_of_America/IA_Iowa/USA_IA_Waterloo.Rgnl.AP-Betsworth.Field.725480_US.Normals.1981-2010.zip")</f>
        <v>https://climate.onebuilding.org/WMO_Region_4_North_and_Central_America/USA_United_States_of_America/IA_Iowa/USA_IA_Waterloo.Rgnl.AP-Betsworth.Field.725480_US.Normals.1981-2010.zip</v>
      </c>
    </row>
    <row r="655" spans="1:10" x14ac:dyDescent="0.25">
      <c r="A655" t="s">
        <v>35</v>
      </c>
      <c r="B655" t="s">
        <v>409</v>
      </c>
      <c r="C655" t="s">
        <v>426</v>
      </c>
      <c r="D655" s="2">
        <v>725480</v>
      </c>
      <c r="E655" t="s">
        <v>13</v>
      </c>
      <c r="F655">
        <v>42.554400000000001</v>
      </c>
      <c r="G655">
        <v>-92.4011</v>
      </c>
      <c r="H655">
        <v>-6</v>
      </c>
      <c r="I655">
        <v>264.60000000000002</v>
      </c>
      <c r="J655" t="str">
        <f>HYPERLINK("https://climate.onebuilding.org/WMO_Region_4_North_and_Central_America/USA_United_States_of_America/IA_Iowa/USA_IA_Waterloo.Rgnl.AP-Betsworth.Field.725480_US.Normals.1991-2020.zip")</f>
        <v>https://climate.onebuilding.org/WMO_Region_4_North_and_Central_America/USA_United_States_of_America/IA_Iowa/USA_IA_Waterloo.Rgnl.AP-Betsworth.Field.725480_US.Normals.1991-2020.zip</v>
      </c>
    </row>
    <row r="656" spans="1:10" x14ac:dyDescent="0.25">
      <c r="A656" t="s">
        <v>35</v>
      </c>
      <c r="B656" t="s">
        <v>409</v>
      </c>
      <c r="C656" t="s">
        <v>426</v>
      </c>
      <c r="D656" s="2">
        <v>725480</v>
      </c>
      <c r="E656" t="s">
        <v>13</v>
      </c>
      <c r="F656">
        <v>42.554400000000001</v>
      </c>
      <c r="G656">
        <v>-92.4011</v>
      </c>
      <c r="H656">
        <v>-6</v>
      </c>
      <c r="I656">
        <v>264.60000000000002</v>
      </c>
      <c r="J656" t="str">
        <f>HYPERLINK("https://climate.onebuilding.org/WMO_Region_4_North_and_Central_America/USA_United_States_of_America/IA_Iowa/USA_IA_Waterloo.Rgnl.AP-Betsworth.Field.725480_US.Normals.2006-2020.zip")</f>
        <v>https://climate.onebuilding.org/WMO_Region_4_North_and_Central_America/USA_United_States_of_America/IA_Iowa/USA_IA_Waterloo.Rgnl.AP-Betsworth.Field.725480_US.Normals.2006-2020.zip</v>
      </c>
    </row>
    <row r="657" spans="1:10" x14ac:dyDescent="0.25">
      <c r="A657" t="s">
        <v>35</v>
      </c>
      <c r="B657" t="s">
        <v>427</v>
      </c>
      <c r="C657" t="s">
        <v>428</v>
      </c>
      <c r="D657" s="2">
        <v>726810</v>
      </c>
      <c r="E657" t="s">
        <v>13</v>
      </c>
      <c r="F657">
        <v>43.566699999999997</v>
      </c>
      <c r="G657">
        <v>-116.2406</v>
      </c>
      <c r="H657">
        <v>-8</v>
      </c>
      <c r="I657">
        <v>857.7</v>
      </c>
      <c r="J657" t="str">
        <f>HYPERLINK("https://climate.onebuilding.org/WMO_Region_4_North_and_Central_America/USA_United_States_of_America/ID_Idaho/USA_ID_Boise.AP-Gowen.Field.ANGB.726810_US.Normals.1981-2010.zip")</f>
        <v>https://climate.onebuilding.org/WMO_Region_4_North_and_Central_America/USA_United_States_of_America/ID_Idaho/USA_ID_Boise.AP-Gowen.Field.ANGB.726810_US.Normals.1981-2010.zip</v>
      </c>
    </row>
    <row r="658" spans="1:10" x14ac:dyDescent="0.25">
      <c r="A658" t="s">
        <v>35</v>
      </c>
      <c r="B658" t="s">
        <v>427</v>
      </c>
      <c r="C658" t="s">
        <v>428</v>
      </c>
      <c r="D658" s="2">
        <v>726810</v>
      </c>
      <c r="E658" t="s">
        <v>13</v>
      </c>
      <c r="F658">
        <v>43.566699999999997</v>
      </c>
      <c r="G658">
        <v>-116.2406</v>
      </c>
      <c r="H658">
        <v>-8</v>
      </c>
      <c r="I658">
        <v>857.7</v>
      </c>
      <c r="J658" t="str">
        <f>HYPERLINK("https://climate.onebuilding.org/WMO_Region_4_North_and_Central_America/USA_United_States_of_America/ID_Idaho/USA_ID_Boise.AP-Gowen.Field.ANGB.726810_US.Normals.1991-2020.zip")</f>
        <v>https://climate.onebuilding.org/WMO_Region_4_North_and_Central_America/USA_United_States_of_America/ID_Idaho/USA_ID_Boise.AP-Gowen.Field.ANGB.726810_US.Normals.1991-2020.zip</v>
      </c>
    </row>
    <row r="659" spans="1:10" x14ac:dyDescent="0.25">
      <c r="A659" t="s">
        <v>35</v>
      </c>
      <c r="B659" t="s">
        <v>427</v>
      </c>
      <c r="C659" t="s">
        <v>428</v>
      </c>
      <c r="D659" s="2">
        <v>726810</v>
      </c>
      <c r="E659" t="s">
        <v>13</v>
      </c>
      <c r="F659">
        <v>43.566699999999997</v>
      </c>
      <c r="G659">
        <v>-116.2406</v>
      </c>
      <c r="H659">
        <v>-8</v>
      </c>
      <c r="I659">
        <v>857.7</v>
      </c>
      <c r="J659" t="str">
        <f>HYPERLINK("https://climate.onebuilding.org/WMO_Region_4_North_and_Central_America/USA_United_States_of_America/ID_Idaho/USA_ID_Boise.AP-Gowen.Field.ANGB.726810_US.Normals.2006-2020.zip")</f>
        <v>https://climate.onebuilding.org/WMO_Region_4_North_and_Central_America/USA_United_States_of_America/ID_Idaho/USA_ID_Boise.AP-Gowen.Field.ANGB.726810_US.Normals.2006-2020.zip</v>
      </c>
    </row>
    <row r="660" spans="1:10" x14ac:dyDescent="0.25">
      <c r="A660" t="s">
        <v>35</v>
      </c>
      <c r="B660" t="s">
        <v>427</v>
      </c>
      <c r="C660" t="s">
        <v>429</v>
      </c>
      <c r="D660" s="2">
        <v>725867</v>
      </c>
      <c r="E660" t="s">
        <v>13</v>
      </c>
      <c r="F660">
        <v>42.541699999999999</v>
      </c>
      <c r="G660">
        <v>-113.76609999999999</v>
      </c>
      <c r="H660">
        <v>-8</v>
      </c>
      <c r="I660">
        <v>1262.5</v>
      </c>
      <c r="J660" t="str">
        <f>HYPERLINK("https://climate.onebuilding.org/WMO_Region_4_North_and_Central_America/USA_United_States_of_America/ID_Idaho/USA_ID_Burley.Muni.AP.725867_US.Normals.2006-2020.zip")</f>
        <v>https://climate.onebuilding.org/WMO_Region_4_North_and_Central_America/USA_United_States_of_America/ID_Idaho/USA_ID_Burley.Muni.AP.725867_US.Normals.2006-2020.zip</v>
      </c>
    </row>
    <row r="661" spans="1:10" x14ac:dyDescent="0.25">
      <c r="A661" t="s">
        <v>35</v>
      </c>
      <c r="B661" t="s">
        <v>427</v>
      </c>
      <c r="C661" t="s">
        <v>430</v>
      </c>
      <c r="D661" s="2">
        <v>722142</v>
      </c>
      <c r="E661" t="s">
        <v>13</v>
      </c>
      <c r="F661">
        <v>44.522799999999997</v>
      </c>
      <c r="G661">
        <v>-114.215</v>
      </c>
      <c r="H661">
        <v>-8</v>
      </c>
      <c r="I661">
        <v>1534.1</v>
      </c>
      <c r="J661" t="str">
        <f>HYPERLINK("https://climate.onebuilding.org/WMO_Region_4_North_and_Central_America/USA_United_States_of_America/ID_Idaho/USA_ID_Challis.AP.722142_US.Normals.2006-2020.zip")</f>
        <v>https://climate.onebuilding.org/WMO_Region_4_North_and_Central_America/USA_United_States_of_America/ID_Idaho/USA_ID_Challis.AP.722142_US.Normals.2006-2020.zip</v>
      </c>
    </row>
    <row r="662" spans="1:10" x14ac:dyDescent="0.25">
      <c r="A662" t="s">
        <v>35</v>
      </c>
      <c r="B662" t="s">
        <v>427</v>
      </c>
      <c r="C662" t="s">
        <v>431</v>
      </c>
      <c r="D662" s="2">
        <v>727834</v>
      </c>
      <c r="E662" t="s">
        <v>13</v>
      </c>
      <c r="F662">
        <v>47.7667</v>
      </c>
      <c r="G662">
        <v>-116.8167</v>
      </c>
      <c r="H662">
        <v>-8</v>
      </c>
      <c r="I662">
        <v>703.2</v>
      </c>
      <c r="J662" t="str">
        <f>HYPERLINK("https://climate.onebuilding.org/WMO_Region_4_North_and_Central_America/USA_United_States_of_America/ID_Idaho/USA_ID_Coeur.dAlene.AP-Boyington.Field.727834_US.Normals.2006-2020.zip")</f>
        <v>https://climate.onebuilding.org/WMO_Region_4_North_and_Central_America/USA_United_States_of_America/ID_Idaho/USA_ID_Coeur.dAlene.AP-Boyington.Field.727834_US.Normals.2006-2020.zip</v>
      </c>
    </row>
    <row r="663" spans="1:10" x14ac:dyDescent="0.25">
      <c r="A663" t="s">
        <v>35</v>
      </c>
      <c r="B663" t="s">
        <v>427</v>
      </c>
      <c r="C663" t="s">
        <v>432</v>
      </c>
      <c r="D663" s="2">
        <v>725790</v>
      </c>
      <c r="E663" t="s">
        <v>13</v>
      </c>
      <c r="F663">
        <v>43.462200000000003</v>
      </c>
      <c r="G663">
        <v>-113.5561</v>
      </c>
      <c r="H663">
        <v>-8</v>
      </c>
      <c r="I663">
        <v>1804.4</v>
      </c>
      <c r="J663" t="str">
        <f>HYPERLINK("https://climate.onebuilding.org/WMO_Region_4_North_and_Central_America/USA_United_States_of_America/ID_Idaho/USA_ID_Craters.of.the.Moon.Natl.Monument.725790_US.Normals.2006-2020.zip")</f>
        <v>https://climate.onebuilding.org/WMO_Region_4_North_and_Central_America/USA_United_States_of_America/ID_Idaho/USA_ID_Craters.of.the.Moon.Natl.Monument.725790_US.Normals.2006-2020.zip</v>
      </c>
    </row>
    <row r="664" spans="1:10" x14ac:dyDescent="0.25">
      <c r="A664" t="s">
        <v>35</v>
      </c>
      <c r="B664" t="s">
        <v>427</v>
      </c>
      <c r="C664" t="s">
        <v>433</v>
      </c>
      <c r="D664" s="2">
        <v>725785</v>
      </c>
      <c r="E664" t="s">
        <v>13</v>
      </c>
      <c r="F664">
        <v>43.516399999999997</v>
      </c>
      <c r="G664">
        <v>-112.0672</v>
      </c>
      <c r="H664">
        <v>-7</v>
      </c>
      <c r="I664">
        <v>1441.4</v>
      </c>
      <c r="J664" t="str">
        <f>HYPERLINK("https://climate.onebuilding.org/WMO_Region_4_North_and_Central_America/USA_United_States_of_America/ID_Idaho/USA_ID_Idaho.Falls.Rgnl.AP-Fanning.Field.725785_US.Normals.2006-2020.zip")</f>
        <v>https://climate.onebuilding.org/WMO_Region_4_North_and_Central_America/USA_United_States_of_America/ID_Idaho/USA_ID_Idaho.Falls.Rgnl.AP-Fanning.Field.725785_US.Normals.2006-2020.zip</v>
      </c>
    </row>
    <row r="665" spans="1:10" x14ac:dyDescent="0.25">
      <c r="A665" t="s">
        <v>35</v>
      </c>
      <c r="B665" t="s">
        <v>427</v>
      </c>
      <c r="C665" t="s">
        <v>434</v>
      </c>
      <c r="D665" s="2">
        <v>726816</v>
      </c>
      <c r="E665" t="s">
        <v>13</v>
      </c>
      <c r="F665">
        <v>42.726700000000001</v>
      </c>
      <c r="G665">
        <v>-114.4564</v>
      </c>
      <c r="H665">
        <v>-8</v>
      </c>
      <c r="I665">
        <v>1233.8</v>
      </c>
      <c r="J665" t="str">
        <f>HYPERLINK("https://climate.onebuilding.org/WMO_Region_4_North_and_Central_America/USA_United_States_of_America/ID_Idaho/USA_ID_Jerome.County.AP.726816_US.Normals.2006-2020.zip")</f>
        <v>https://climate.onebuilding.org/WMO_Region_4_North_and_Central_America/USA_United_States_of_America/ID_Idaho/USA_ID_Jerome.County.AP.726816_US.Normals.2006-2020.zip</v>
      </c>
    </row>
    <row r="666" spans="1:10" x14ac:dyDescent="0.25">
      <c r="A666" t="s">
        <v>35</v>
      </c>
      <c r="B666" t="s">
        <v>427</v>
      </c>
      <c r="C666" t="s">
        <v>435</v>
      </c>
      <c r="D666" s="2">
        <v>727830</v>
      </c>
      <c r="E666" t="s">
        <v>13</v>
      </c>
      <c r="F666">
        <v>46.374699999999997</v>
      </c>
      <c r="G666">
        <v>-117.01560000000001</v>
      </c>
      <c r="H666">
        <v>-8</v>
      </c>
      <c r="I666">
        <v>437.7</v>
      </c>
      <c r="J666" t="str">
        <f>HYPERLINK("https://climate.onebuilding.org/WMO_Region_4_North_and_Central_America/USA_United_States_of_America/ID_Idaho/USA_ID_Lewiston-Nez.Perce.County.Rgnl.AP.727830_US.Normals.1981-2010.zip")</f>
        <v>https://climate.onebuilding.org/WMO_Region_4_North_and_Central_America/USA_United_States_of_America/ID_Idaho/USA_ID_Lewiston-Nez.Perce.County.Rgnl.AP.727830_US.Normals.1981-2010.zip</v>
      </c>
    </row>
    <row r="667" spans="1:10" x14ac:dyDescent="0.25">
      <c r="A667" t="s">
        <v>35</v>
      </c>
      <c r="B667" t="s">
        <v>427</v>
      </c>
      <c r="C667" t="s">
        <v>435</v>
      </c>
      <c r="D667" s="2">
        <v>727830</v>
      </c>
      <c r="E667" t="s">
        <v>13</v>
      </c>
      <c r="F667">
        <v>46.374699999999997</v>
      </c>
      <c r="G667">
        <v>-117.01560000000001</v>
      </c>
      <c r="H667">
        <v>-8</v>
      </c>
      <c r="I667">
        <v>437.7</v>
      </c>
      <c r="J667" t="str">
        <f>HYPERLINK("https://climate.onebuilding.org/WMO_Region_4_North_and_Central_America/USA_United_States_of_America/ID_Idaho/USA_ID_Lewiston-Nez.Perce.County.Rgnl.AP.727830_US.Normals.1991-2020.zip")</f>
        <v>https://climate.onebuilding.org/WMO_Region_4_North_and_Central_America/USA_United_States_of_America/ID_Idaho/USA_ID_Lewiston-Nez.Perce.County.Rgnl.AP.727830_US.Normals.1991-2020.zip</v>
      </c>
    </row>
    <row r="668" spans="1:10" x14ac:dyDescent="0.25">
      <c r="A668" t="s">
        <v>35</v>
      </c>
      <c r="B668" t="s">
        <v>427</v>
      </c>
      <c r="C668" t="s">
        <v>435</v>
      </c>
      <c r="D668" s="2">
        <v>727830</v>
      </c>
      <c r="E668" t="s">
        <v>13</v>
      </c>
      <c r="F668">
        <v>46.374699999999997</v>
      </c>
      <c r="G668">
        <v>-117.01560000000001</v>
      </c>
      <c r="H668">
        <v>-8</v>
      </c>
      <c r="I668">
        <v>437.7</v>
      </c>
      <c r="J668" t="str">
        <f>HYPERLINK("https://climate.onebuilding.org/WMO_Region_4_North_and_Central_America/USA_United_States_of_America/ID_Idaho/USA_ID_Lewiston-Nez.Perce.County.Rgnl.AP.727830_US.Normals.2006-2020.zip")</f>
        <v>https://climate.onebuilding.org/WMO_Region_4_North_and_Central_America/USA_United_States_of_America/ID_Idaho/USA_ID_Lewiston-Nez.Perce.County.Rgnl.AP.727830_US.Normals.2006-2020.zip</v>
      </c>
    </row>
    <row r="669" spans="1:10" x14ac:dyDescent="0.25">
      <c r="A669" t="s">
        <v>35</v>
      </c>
      <c r="B669" t="s">
        <v>427</v>
      </c>
      <c r="C669" t="s">
        <v>436</v>
      </c>
      <c r="D669" s="2">
        <v>725784</v>
      </c>
      <c r="E669" t="s">
        <v>13</v>
      </c>
      <c r="F669">
        <v>46.144199999999998</v>
      </c>
      <c r="G669">
        <v>-115.5964</v>
      </c>
      <c r="H669">
        <v>-8</v>
      </c>
      <c r="I669">
        <v>451.1</v>
      </c>
      <c r="J669" t="str">
        <f>HYPERLINK("https://climate.onebuilding.org/WMO_Region_4_North_and_Central_America/USA_United_States_of_America/ID_Idaho/USA_ID_Lowell.725784_US.Normals.2006-2020.zip")</f>
        <v>https://climate.onebuilding.org/WMO_Region_4_North_and_Central_America/USA_United_States_of_America/ID_Idaho/USA_ID_Lowell.725784_US.Normals.2006-2020.zip</v>
      </c>
    </row>
    <row r="670" spans="1:10" x14ac:dyDescent="0.25">
      <c r="A670" t="s">
        <v>35</v>
      </c>
      <c r="B670" t="s">
        <v>427</v>
      </c>
      <c r="C670" t="s">
        <v>437</v>
      </c>
      <c r="D670" s="2">
        <v>725864</v>
      </c>
      <c r="E670" t="s">
        <v>13</v>
      </c>
      <c r="F670">
        <v>44.8889</v>
      </c>
      <c r="G670">
        <v>-116.10169999999999</v>
      </c>
      <c r="H670">
        <v>-8</v>
      </c>
      <c r="I670">
        <v>1528</v>
      </c>
      <c r="J670" t="str">
        <f>HYPERLINK("https://climate.onebuilding.org/WMO_Region_4_North_and_Central_America/USA_United_States_of_America/ID_Idaho/USA_ID_McCall.Muni.AP.725864_US.Normals.2006-2020.zip")</f>
        <v>https://climate.onebuilding.org/WMO_Region_4_North_and_Central_America/USA_United_States_of_America/ID_Idaho/USA_ID_McCall.Muni.AP.725864_US.Normals.2006-2020.zip</v>
      </c>
    </row>
    <row r="671" spans="1:10" x14ac:dyDescent="0.25">
      <c r="A671" t="s">
        <v>35</v>
      </c>
      <c r="B671" t="s">
        <v>427</v>
      </c>
      <c r="C671" t="s">
        <v>438</v>
      </c>
      <c r="D671" s="2">
        <v>726815</v>
      </c>
      <c r="E671" t="s">
        <v>13</v>
      </c>
      <c r="F671">
        <v>43.05</v>
      </c>
      <c r="G671">
        <v>-115.86669999999999</v>
      </c>
      <c r="H671">
        <v>-8</v>
      </c>
      <c r="I671">
        <v>912</v>
      </c>
      <c r="J671" t="str">
        <f>HYPERLINK("https://climate.onebuilding.org/WMO_Region_4_North_and_Central_America/USA_United_States_of_America/ID_Idaho/USA_ID_Mountain.Home.AFB.726815_US.Normals.1981-2010.zip")</f>
        <v>https://climate.onebuilding.org/WMO_Region_4_North_and_Central_America/USA_United_States_of_America/ID_Idaho/USA_ID_Mountain.Home.AFB.726815_US.Normals.1981-2010.zip</v>
      </c>
    </row>
    <row r="672" spans="1:10" x14ac:dyDescent="0.25">
      <c r="A672" t="s">
        <v>35</v>
      </c>
      <c r="B672" t="s">
        <v>427</v>
      </c>
      <c r="C672" t="s">
        <v>438</v>
      </c>
      <c r="D672" s="2">
        <v>726815</v>
      </c>
      <c r="E672" t="s">
        <v>13</v>
      </c>
      <c r="F672">
        <v>43.05</v>
      </c>
      <c r="G672">
        <v>-115.86669999999999</v>
      </c>
      <c r="H672">
        <v>-8</v>
      </c>
      <c r="I672">
        <v>912</v>
      </c>
      <c r="J672" t="str">
        <f>HYPERLINK("https://climate.onebuilding.org/WMO_Region_4_North_and_Central_America/USA_United_States_of_America/ID_Idaho/USA_ID_Mountain.Home.AFB.726815_US.Normals.1991-2020.zip")</f>
        <v>https://climate.onebuilding.org/WMO_Region_4_North_and_Central_America/USA_United_States_of_America/ID_Idaho/USA_ID_Mountain.Home.AFB.726815_US.Normals.1991-2020.zip</v>
      </c>
    </row>
    <row r="673" spans="1:10" x14ac:dyDescent="0.25">
      <c r="A673" t="s">
        <v>35</v>
      </c>
      <c r="B673" t="s">
        <v>427</v>
      </c>
      <c r="C673" t="s">
        <v>438</v>
      </c>
      <c r="D673" s="2">
        <v>726815</v>
      </c>
      <c r="E673" t="s">
        <v>13</v>
      </c>
      <c r="F673">
        <v>43.05</v>
      </c>
      <c r="G673">
        <v>-115.86669999999999</v>
      </c>
      <c r="H673">
        <v>-8</v>
      </c>
      <c r="I673">
        <v>912</v>
      </c>
      <c r="J673" t="str">
        <f>HYPERLINK("https://climate.onebuilding.org/WMO_Region_4_North_and_Central_America/USA_United_States_of_America/ID_Idaho/USA_ID_Mountain.Home.AFB.726815_US.Normals.2006-2020.zip")</f>
        <v>https://climate.onebuilding.org/WMO_Region_4_North_and_Central_America/USA_United_States_of_America/ID_Idaho/USA_ID_Mountain.Home.AFB.726815_US.Normals.2006-2020.zip</v>
      </c>
    </row>
    <row r="674" spans="1:10" x14ac:dyDescent="0.25">
      <c r="A674" t="s">
        <v>35</v>
      </c>
      <c r="B674" t="s">
        <v>427</v>
      </c>
      <c r="C674" t="s">
        <v>439</v>
      </c>
      <c r="D674" s="2">
        <v>726817</v>
      </c>
      <c r="E674" t="s">
        <v>13</v>
      </c>
      <c r="F674">
        <v>47.456899999999997</v>
      </c>
      <c r="G674">
        <v>-115.645</v>
      </c>
      <c r="H674">
        <v>-8</v>
      </c>
      <c r="I674">
        <v>1837.3</v>
      </c>
      <c r="J674" t="str">
        <f>HYPERLINK("https://climate.onebuilding.org/WMO_Region_4_North_and_Central_America/USA_United_States_of_America/ID_Idaho/USA_ID_Mullan.Pass.726817_US.Normals.2006-2020.zip")</f>
        <v>https://climate.onebuilding.org/WMO_Region_4_North_and_Central_America/USA_United_States_of_America/ID_Idaho/USA_ID_Mullan.Pass.726817_US.Normals.2006-2020.zip</v>
      </c>
    </row>
    <row r="675" spans="1:10" x14ac:dyDescent="0.25">
      <c r="A675" t="s">
        <v>35</v>
      </c>
      <c r="B675" t="s">
        <v>427</v>
      </c>
      <c r="C675" t="s">
        <v>440</v>
      </c>
      <c r="D675" s="2">
        <v>725800</v>
      </c>
      <c r="E675" t="s">
        <v>13</v>
      </c>
      <c r="F675">
        <v>43.2044</v>
      </c>
      <c r="G675">
        <v>-116.75060000000001</v>
      </c>
      <c r="H675">
        <v>-8</v>
      </c>
      <c r="I675">
        <v>1204</v>
      </c>
      <c r="J675" t="str">
        <f>HYPERLINK("https://climate.onebuilding.org/WMO_Region_4_North_and_Central_America/USA_United_States_of_America/ID_Idaho/USA_ID_Murphy-NorthWest.Watershed.Research.Center-Reynolds.Creek.Site.725800_US.Normals.2006-2020.zip")</f>
        <v>https://climate.onebuilding.org/WMO_Region_4_North_and_Central_America/USA_United_States_of_America/ID_Idaho/USA_ID_Murphy-NorthWest.Watershed.Research.Center-Reynolds.Creek.Site.725800_US.Normals.2006-2020.zip</v>
      </c>
    </row>
    <row r="676" spans="1:10" x14ac:dyDescent="0.25">
      <c r="A676" t="s">
        <v>35</v>
      </c>
      <c r="B676" t="s">
        <v>427</v>
      </c>
      <c r="C676" t="s">
        <v>441</v>
      </c>
      <c r="D676" s="2">
        <v>725780</v>
      </c>
      <c r="E676" t="s">
        <v>13</v>
      </c>
      <c r="F676">
        <v>42.920299999999997</v>
      </c>
      <c r="G676">
        <v>-112.5711</v>
      </c>
      <c r="H676">
        <v>-8</v>
      </c>
      <c r="I676">
        <v>1364.9</v>
      </c>
      <c r="J676" t="str">
        <f>HYPERLINK("https://climate.onebuilding.org/WMO_Region_4_North_and_Central_America/USA_United_States_of_America/ID_Idaho/USA_ID_Pocatello.Rgnl.AP.725780_US.Normals.1981-2010.zip")</f>
        <v>https://climate.onebuilding.org/WMO_Region_4_North_and_Central_America/USA_United_States_of_America/ID_Idaho/USA_ID_Pocatello.Rgnl.AP.725780_US.Normals.1981-2010.zip</v>
      </c>
    </row>
    <row r="677" spans="1:10" x14ac:dyDescent="0.25">
      <c r="A677" t="s">
        <v>35</v>
      </c>
      <c r="B677" t="s">
        <v>427</v>
      </c>
      <c r="C677" t="s">
        <v>441</v>
      </c>
      <c r="D677" s="2">
        <v>725780</v>
      </c>
      <c r="E677" t="s">
        <v>13</v>
      </c>
      <c r="F677">
        <v>42.920299999999997</v>
      </c>
      <c r="G677">
        <v>-112.5711</v>
      </c>
      <c r="H677">
        <v>-8</v>
      </c>
      <c r="I677">
        <v>1364.9</v>
      </c>
      <c r="J677" t="str">
        <f>HYPERLINK("https://climate.onebuilding.org/WMO_Region_4_North_and_Central_America/USA_United_States_of_America/ID_Idaho/USA_ID_Pocatello.Rgnl.AP.725780_US.Normals.1991-2020.zip")</f>
        <v>https://climate.onebuilding.org/WMO_Region_4_North_and_Central_America/USA_United_States_of_America/ID_Idaho/USA_ID_Pocatello.Rgnl.AP.725780_US.Normals.1991-2020.zip</v>
      </c>
    </row>
    <row r="678" spans="1:10" x14ac:dyDescent="0.25">
      <c r="A678" t="s">
        <v>35</v>
      </c>
      <c r="B678" t="s">
        <v>427</v>
      </c>
      <c r="C678" t="s">
        <v>441</v>
      </c>
      <c r="D678" s="2">
        <v>725780</v>
      </c>
      <c r="E678" t="s">
        <v>13</v>
      </c>
      <c r="F678">
        <v>42.920299999999997</v>
      </c>
      <c r="G678">
        <v>-112.5711</v>
      </c>
      <c r="H678">
        <v>-8</v>
      </c>
      <c r="I678">
        <v>1364.9</v>
      </c>
      <c r="J678" t="str">
        <f>HYPERLINK("https://climate.onebuilding.org/WMO_Region_4_North_and_Central_America/USA_United_States_of_America/ID_Idaho/USA_ID_Pocatello.Rgnl.AP.725780_US.Normals.2006-2020.zip")</f>
        <v>https://climate.onebuilding.org/WMO_Region_4_North_and_Central_America/USA_United_States_of_America/ID_Idaho/USA_ID_Pocatello.Rgnl.AP.725780_US.Normals.2006-2020.zip</v>
      </c>
    </row>
    <row r="679" spans="1:10" x14ac:dyDescent="0.25">
      <c r="A679" t="s">
        <v>35</v>
      </c>
      <c r="B679" t="s">
        <v>427</v>
      </c>
      <c r="C679" t="s">
        <v>442</v>
      </c>
      <c r="D679" s="2">
        <v>726818</v>
      </c>
      <c r="E679" t="s">
        <v>13</v>
      </c>
      <c r="F679">
        <v>43.8339</v>
      </c>
      <c r="G679">
        <v>-111.8045</v>
      </c>
      <c r="H679">
        <v>-7</v>
      </c>
      <c r="I679">
        <v>1480.7</v>
      </c>
      <c r="J679" t="str">
        <f>HYPERLINK("https://climate.onebuilding.org/WMO_Region_4_North_and_Central_America/USA_United_States_of_America/ID_Idaho/USA_ID_Rexburg-Madison.County.AP.726818_US.Normals.2006-2020.zip")</f>
        <v>https://climate.onebuilding.org/WMO_Region_4_North_and_Central_America/USA_United_States_of_America/ID_Idaho/USA_ID_Rexburg-Madison.County.AP.726818_US.Normals.2006-2020.zip</v>
      </c>
    </row>
    <row r="680" spans="1:10" x14ac:dyDescent="0.25">
      <c r="A680" t="s">
        <v>35</v>
      </c>
      <c r="B680" t="s">
        <v>427</v>
      </c>
      <c r="C680" t="s">
        <v>443</v>
      </c>
      <c r="D680" s="2">
        <v>726824</v>
      </c>
      <c r="E680" t="s">
        <v>13</v>
      </c>
      <c r="F680">
        <v>44.1708</v>
      </c>
      <c r="G680">
        <v>-114.9272</v>
      </c>
      <c r="H680">
        <v>-8</v>
      </c>
      <c r="I680">
        <v>1979.7</v>
      </c>
      <c r="J680" t="str">
        <f>HYPERLINK("https://climate.onebuilding.org/WMO_Region_4_North_and_Central_America/USA_United_States_of_America/ID_Idaho/USA_ID_Stanley.Ranger.Station.726824_US.Normals.2006-2020.zip")</f>
        <v>https://climate.onebuilding.org/WMO_Region_4_North_and_Central_America/USA_United_States_of_America/ID_Idaho/USA_ID_Stanley.Ranger.Station.726824_US.Normals.2006-2020.zip</v>
      </c>
    </row>
    <row r="681" spans="1:10" x14ac:dyDescent="0.25">
      <c r="A681" t="s">
        <v>35</v>
      </c>
      <c r="B681" t="s">
        <v>427</v>
      </c>
      <c r="C681" t="s">
        <v>444</v>
      </c>
      <c r="D681" s="2">
        <v>725866</v>
      </c>
      <c r="E681" t="s">
        <v>13</v>
      </c>
      <c r="F681">
        <v>42.481900000000003</v>
      </c>
      <c r="G681">
        <v>-114.48690000000001</v>
      </c>
      <c r="H681">
        <v>-8</v>
      </c>
      <c r="I681">
        <v>1265.2</v>
      </c>
      <c r="J681" t="str">
        <f>HYPERLINK("https://climate.onebuilding.org/WMO_Region_4_North_and_Central_America/USA_United_States_of_America/ID_Idaho/USA_ID_Twin.Falls-Magic.Valley.Rgnl.AP-Joslin.Field.725866_US.Normals.2006-2020.zip")</f>
        <v>https://climate.onebuilding.org/WMO_Region_4_North_and_Central_America/USA_United_States_of_America/ID_Idaho/USA_ID_Twin.Falls-Magic.Valley.Rgnl.AP-Joslin.Field.725866_US.Normals.2006-2020.zip</v>
      </c>
    </row>
    <row r="682" spans="1:10" x14ac:dyDescent="0.25">
      <c r="A682" t="s">
        <v>35</v>
      </c>
      <c r="B682" t="s">
        <v>445</v>
      </c>
      <c r="C682" t="s">
        <v>446</v>
      </c>
      <c r="D682" s="2">
        <v>744655</v>
      </c>
      <c r="E682" t="s">
        <v>13</v>
      </c>
      <c r="F682">
        <v>41.77</v>
      </c>
      <c r="G682">
        <v>-88.481399999999994</v>
      </c>
      <c r="H682">
        <v>-6</v>
      </c>
      <c r="I682">
        <v>216.4</v>
      </c>
      <c r="J682" t="str">
        <f>HYPERLINK("https://climate.onebuilding.org/WMO_Region_4_North_and_Central_America/USA_United_States_of_America/IL_Illinois/USA_IL_Aurora.Muni.AP.744655_US.Normals.2006-2020.zip")</f>
        <v>https://climate.onebuilding.org/WMO_Region_4_North_and_Central_America/USA_United_States_of_America/IL_Illinois/USA_IL_Aurora.Muni.AP.744655_US.Normals.2006-2020.zip</v>
      </c>
    </row>
    <row r="683" spans="1:10" x14ac:dyDescent="0.25">
      <c r="A683" t="s">
        <v>35</v>
      </c>
      <c r="B683" t="s">
        <v>445</v>
      </c>
      <c r="C683" t="s">
        <v>447</v>
      </c>
      <c r="D683" s="2">
        <v>724338</v>
      </c>
      <c r="E683" t="s">
        <v>13</v>
      </c>
      <c r="F683">
        <v>38.520000000000003</v>
      </c>
      <c r="G683">
        <v>-89.846699999999998</v>
      </c>
      <c r="H683">
        <v>-6</v>
      </c>
      <c r="I683">
        <v>137.19999999999999</v>
      </c>
      <c r="J683" t="str">
        <f>HYPERLINK("https://climate.onebuilding.org/WMO_Region_4_North_and_Central_America/USA_United_States_of_America/IL_Illinois/USA_IL_Belleville-Scott.AFB-MidAmerica.St.Louis.AP.724338_US.Normals.1981-2010.zip")</f>
        <v>https://climate.onebuilding.org/WMO_Region_4_North_and_Central_America/USA_United_States_of_America/IL_Illinois/USA_IL_Belleville-Scott.AFB-MidAmerica.St.Louis.AP.724338_US.Normals.1981-2010.zip</v>
      </c>
    </row>
    <row r="684" spans="1:10" x14ac:dyDescent="0.25">
      <c r="A684" t="s">
        <v>35</v>
      </c>
      <c r="B684" t="s">
        <v>445</v>
      </c>
      <c r="C684" t="s">
        <v>447</v>
      </c>
      <c r="D684" s="2">
        <v>724338</v>
      </c>
      <c r="E684" t="s">
        <v>13</v>
      </c>
      <c r="F684">
        <v>38.520000000000003</v>
      </c>
      <c r="G684">
        <v>-89.846699999999998</v>
      </c>
      <c r="H684">
        <v>-6</v>
      </c>
      <c r="I684">
        <v>137.19999999999999</v>
      </c>
      <c r="J684" t="str">
        <f>HYPERLINK("https://climate.onebuilding.org/WMO_Region_4_North_and_Central_America/USA_United_States_of_America/IL_Illinois/USA_IL_Belleville-Scott.AFB-MidAmerica.St.Louis.AP.724338_US.Normals.1991-2020.zip")</f>
        <v>https://climate.onebuilding.org/WMO_Region_4_North_and_Central_America/USA_United_States_of_America/IL_Illinois/USA_IL_Belleville-Scott.AFB-MidAmerica.St.Louis.AP.724338_US.Normals.1991-2020.zip</v>
      </c>
    </row>
    <row r="685" spans="1:10" x14ac:dyDescent="0.25">
      <c r="A685" t="s">
        <v>35</v>
      </c>
      <c r="B685" t="s">
        <v>445</v>
      </c>
      <c r="C685" t="s">
        <v>447</v>
      </c>
      <c r="D685" s="2">
        <v>724338</v>
      </c>
      <c r="E685" t="s">
        <v>13</v>
      </c>
      <c r="F685">
        <v>38.520000000000003</v>
      </c>
      <c r="G685">
        <v>-89.846699999999998</v>
      </c>
      <c r="H685">
        <v>-6</v>
      </c>
      <c r="I685">
        <v>137.19999999999999</v>
      </c>
      <c r="J685" t="str">
        <f>HYPERLINK("https://climate.onebuilding.org/WMO_Region_4_North_and_Central_America/USA_United_States_of_America/IL_Illinois/USA_IL_Belleville-Scott.AFB-MidAmerica.St.Louis.AP.724338_US.Normals.2006-2020.zip")</f>
        <v>https://climate.onebuilding.org/WMO_Region_4_North_and_Central_America/USA_United_States_of_America/IL_Illinois/USA_IL_Belleville-Scott.AFB-MidAmerica.St.Louis.AP.724338_US.Normals.2006-2020.zip</v>
      </c>
    </row>
    <row r="686" spans="1:10" x14ac:dyDescent="0.25">
      <c r="A686" t="s">
        <v>35</v>
      </c>
      <c r="B686" t="s">
        <v>445</v>
      </c>
      <c r="C686" t="s">
        <v>448</v>
      </c>
      <c r="D686" s="2">
        <v>724360</v>
      </c>
      <c r="E686" t="s">
        <v>13</v>
      </c>
      <c r="F686">
        <v>40.052799999999998</v>
      </c>
      <c r="G686">
        <v>-88.372799999999998</v>
      </c>
      <c r="H686">
        <v>-6</v>
      </c>
      <c r="I686">
        <v>213.4</v>
      </c>
      <c r="J686" t="str">
        <f>HYPERLINK("https://climate.onebuilding.org/WMO_Region_4_North_and_Central_America/USA_United_States_of_America/IL_Illinois/USA_IL_Bondville.SURFRAD.724360_US.Normals.2006-2020.zip")</f>
        <v>https://climate.onebuilding.org/WMO_Region_4_North_and_Central_America/USA_United_States_of_America/IL_Illinois/USA_IL_Bondville.SURFRAD.724360_US.Normals.2006-2020.zip</v>
      </c>
    </row>
    <row r="687" spans="1:10" x14ac:dyDescent="0.25">
      <c r="A687" t="s">
        <v>35</v>
      </c>
      <c r="B687" t="s">
        <v>445</v>
      </c>
      <c r="C687" t="s">
        <v>449</v>
      </c>
      <c r="D687" s="2">
        <v>725314</v>
      </c>
      <c r="E687" t="s">
        <v>13</v>
      </c>
      <c r="F687">
        <v>38.571399999999997</v>
      </c>
      <c r="G687">
        <v>-90.157200000000003</v>
      </c>
      <c r="H687">
        <v>-6</v>
      </c>
      <c r="I687">
        <v>125.9</v>
      </c>
      <c r="J687" t="str">
        <f>HYPERLINK("https://climate.onebuilding.org/WMO_Region_4_North_and_Central_America/USA_United_States_of_America/IL_Illinois/USA_IL_Cahokia-St.Louis.Downtown.AP.725314_US.Normals.2006-2020.zip")</f>
        <v>https://climate.onebuilding.org/WMO_Region_4_North_and_Central_America/USA_United_States_of_America/IL_Illinois/USA_IL_Cahokia-St.Louis.Downtown.AP.725314_US.Normals.2006-2020.zip</v>
      </c>
    </row>
    <row r="688" spans="1:10" x14ac:dyDescent="0.25">
      <c r="A688" t="s">
        <v>35</v>
      </c>
      <c r="B688" t="s">
        <v>445</v>
      </c>
      <c r="C688" t="s">
        <v>450</v>
      </c>
      <c r="D688" s="2">
        <v>724336</v>
      </c>
      <c r="E688" t="s">
        <v>13</v>
      </c>
      <c r="F688">
        <v>37.779699999999998</v>
      </c>
      <c r="G688">
        <v>-89.249700000000004</v>
      </c>
      <c r="H688">
        <v>-6</v>
      </c>
      <c r="I688">
        <v>123.7</v>
      </c>
      <c r="J688" t="str">
        <f>HYPERLINK("https://climate.onebuilding.org/WMO_Region_4_North_and_Central_America/USA_United_States_of_America/IL_Illinois/USA_IL_Carbondale-Southern.Illinois.AP.724336_US.Normals.2006-2020.zip")</f>
        <v>https://climate.onebuilding.org/WMO_Region_4_North_and_Central_America/USA_United_States_of_America/IL_Illinois/USA_IL_Carbondale-Southern.Illinois.AP.724336_US.Normals.2006-2020.zip</v>
      </c>
    </row>
    <row r="689" spans="1:10" x14ac:dyDescent="0.25">
      <c r="A689" t="s">
        <v>35</v>
      </c>
      <c r="B689" t="s">
        <v>445</v>
      </c>
      <c r="C689" t="s">
        <v>451</v>
      </c>
      <c r="D689" s="2">
        <v>725315</v>
      </c>
      <c r="E689" t="s">
        <v>13</v>
      </c>
      <c r="F689">
        <v>40.039700000000003</v>
      </c>
      <c r="G689">
        <v>-88.277799999999999</v>
      </c>
      <c r="H689">
        <v>-6</v>
      </c>
      <c r="I689">
        <v>229.8</v>
      </c>
      <c r="J689" t="str">
        <f>HYPERLINK("https://climate.onebuilding.org/WMO_Region_4_North_and_Central_America/USA_United_States_of_America/IL_Illinois/USA_IL_Champaign-Univ.of.IL.Willard.AP.725315_US.Normals.2006-2020.zip")</f>
        <v>https://climate.onebuilding.org/WMO_Region_4_North_and_Central_America/USA_United_States_of_America/IL_Illinois/USA_IL_Champaign-Univ.of.IL.Willard.AP.725315_US.Normals.2006-2020.zip</v>
      </c>
    </row>
    <row r="690" spans="1:10" x14ac:dyDescent="0.25">
      <c r="A690" t="s">
        <v>35</v>
      </c>
      <c r="B690" t="s">
        <v>445</v>
      </c>
      <c r="C690" t="s">
        <v>452</v>
      </c>
      <c r="D690" s="2">
        <v>744665</v>
      </c>
      <c r="E690" t="s">
        <v>13</v>
      </c>
      <c r="F690">
        <v>42.120800000000003</v>
      </c>
      <c r="G690">
        <v>-87.904700000000005</v>
      </c>
      <c r="H690">
        <v>-6</v>
      </c>
      <c r="I690">
        <v>193.9</v>
      </c>
      <c r="J690" t="str">
        <f>HYPERLINK("https://climate.onebuilding.org/WMO_Region_4_North_and_Central_America/USA_United_States_of_America/IL_Illinois/USA_IL_Chicago.Exec.AP.744665_US.Normals.2006-2020.zip")</f>
        <v>https://climate.onebuilding.org/WMO_Region_4_North_and_Central_America/USA_United_States_of_America/IL_Illinois/USA_IL_Chicago.Exec.AP.744665_US.Normals.2006-2020.zip</v>
      </c>
    </row>
    <row r="691" spans="1:10" x14ac:dyDescent="0.25">
      <c r="A691" t="s">
        <v>35</v>
      </c>
      <c r="B691" t="s">
        <v>445</v>
      </c>
      <c r="C691" t="s">
        <v>453</v>
      </c>
      <c r="D691" s="2">
        <v>725340</v>
      </c>
      <c r="E691" t="s">
        <v>13</v>
      </c>
      <c r="F691">
        <v>41.786099999999998</v>
      </c>
      <c r="G691">
        <v>-87.752200000000002</v>
      </c>
      <c r="H691">
        <v>-6</v>
      </c>
      <c r="I691">
        <v>186.5</v>
      </c>
      <c r="J691" t="str">
        <f>HYPERLINK("https://climate.onebuilding.org/WMO_Region_4_North_and_Central_America/USA_United_States_of_America/IL_Illinois/USA_IL_Chicago.Midway.Intl.AP.725340_US.Normals.1981-2010.zip")</f>
        <v>https://climate.onebuilding.org/WMO_Region_4_North_and_Central_America/USA_United_States_of_America/IL_Illinois/USA_IL_Chicago.Midway.Intl.AP.725340_US.Normals.1981-2010.zip</v>
      </c>
    </row>
    <row r="692" spans="1:10" x14ac:dyDescent="0.25">
      <c r="A692" t="s">
        <v>35</v>
      </c>
      <c r="B692" t="s">
        <v>445</v>
      </c>
      <c r="C692" t="s">
        <v>453</v>
      </c>
      <c r="D692" s="2">
        <v>725340</v>
      </c>
      <c r="E692" t="s">
        <v>13</v>
      </c>
      <c r="F692">
        <v>41.786099999999998</v>
      </c>
      <c r="G692">
        <v>-87.752200000000002</v>
      </c>
      <c r="H692">
        <v>-6</v>
      </c>
      <c r="I692">
        <v>186.5</v>
      </c>
      <c r="J692" t="str">
        <f>HYPERLINK("https://climate.onebuilding.org/WMO_Region_4_North_and_Central_America/USA_United_States_of_America/IL_Illinois/USA_IL_Chicago.Midway.Intl.AP.725340_US.Normals.1991-2020.zip")</f>
        <v>https://climate.onebuilding.org/WMO_Region_4_North_and_Central_America/USA_United_States_of_America/IL_Illinois/USA_IL_Chicago.Midway.Intl.AP.725340_US.Normals.1991-2020.zip</v>
      </c>
    </row>
    <row r="693" spans="1:10" x14ac:dyDescent="0.25">
      <c r="A693" t="s">
        <v>35</v>
      </c>
      <c r="B693" t="s">
        <v>445</v>
      </c>
      <c r="C693" t="s">
        <v>453</v>
      </c>
      <c r="D693" s="2">
        <v>725340</v>
      </c>
      <c r="E693" t="s">
        <v>13</v>
      </c>
      <c r="F693">
        <v>41.786099999999998</v>
      </c>
      <c r="G693">
        <v>-87.752200000000002</v>
      </c>
      <c r="H693">
        <v>-6</v>
      </c>
      <c r="I693">
        <v>186.5</v>
      </c>
      <c r="J693" t="str">
        <f>HYPERLINK("https://climate.onebuilding.org/WMO_Region_4_North_and_Central_America/USA_United_States_of_America/IL_Illinois/USA_IL_Chicago.Midway.Intl.AP.725340_US.Normals.2006-2020.zip")</f>
        <v>https://climate.onebuilding.org/WMO_Region_4_North_and_Central_America/USA_United_States_of_America/IL_Illinois/USA_IL_Chicago.Midway.Intl.AP.725340_US.Normals.2006-2020.zip</v>
      </c>
    </row>
    <row r="694" spans="1:10" x14ac:dyDescent="0.25">
      <c r="A694" t="s">
        <v>35</v>
      </c>
      <c r="B694" t="s">
        <v>445</v>
      </c>
      <c r="C694" t="s">
        <v>454</v>
      </c>
      <c r="D694" s="2">
        <v>725300</v>
      </c>
      <c r="E694" t="s">
        <v>13</v>
      </c>
      <c r="F694">
        <v>41.994999999999997</v>
      </c>
      <c r="G694">
        <v>-87.933599999999998</v>
      </c>
      <c r="H694">
        <v>-6</v>
      </c>
      <c r="I694">
        <v>200.6</v>
      </c>
      <c r="J694" t="str">
        <f>HYPERLINK("https://climate.onebuilding.org/WMO_Region_4_North_and_Central_America/USA_United_States_of_America/IL_Illinois/USA_IL_Chicago.OHare.Intl.AP.725300_US.Normals.1981-2010.zip")</f>
        <v>https://climate.onebuilding.org/WMO_Region_4_North_and_Central_America/USA_United_States_of_America/IL_Illinois/USA_IL_Chicago.OHare.Intl.AP.725300_US.Normals.1981-2010.zip</v>
      </c>
    </row>
    <row r="695" spans="1:10" x14ac:dyDescent="0.25">
      <c r="A695" t="s">
        <v>35</v>
      </c>
      <c r="B695" t="s">
        <v>445</v>
      </c>
      <c r="C695" t="s">
        <v>454</v>
      </c>
      <c r="D695" s="2">
        <v>725300</v>
      </c>
      <c r="E695" t="s">
        <v>13</v>
      </c>
      <c r="F695">
        <v>41.994999999999997</v>
      </c>
      <c r="G695">
        <v>-87.933599999999998</v>
      </c>
      <c r="H695">
        <v>-6</v>
      </c>
      <c r="I695">
        <v>200.6</v>
      </c>
      <c r="J695" t="str">
        <f>HYPERLINK("https://climate.onebuilding.org/WMO_Region_4_North_and_Central_America/USA_United_States_of_America/IL_Illinois/USA_IL_Chicago.OHare.Intl.AP.725300_US.Normals.1991-2020.zip")</f>
        <v>https://climate.onebuilding.org/WMO_Region_4_North_and_Central_America/USA_United_States_of_America/IL_Illinois/USA_IL_Chicago.OHare.Intl.AP.725300_US.Normals.1991-2020.zip</v>
      </c>
    </row>
    <row r="696" spans="1:10" x14ac:dyDescent="0.25">
      <c r="A696" t="s">
        <v>35</v>
      </c>
      <c r="B696" t="s">
        <v>445</v>
      </c>
      <c r="C696" t="s">
        <v>454</v>
      </c>
      <c r="D696" s="2">
        <v>725300</v>
      </c>
      <c r="E696" t="s">
        <v>13</v>
      </c>
      <c r="F696">
        <v>41.994999999999997</v>
      </c>
      <c r="G696">
        <v>-87.933599999999998</v>
      </c>
      <c r="H696">
        <v>-6</v>
      </c>
      <c r="I696">
        <v>200.6</v>
      </c>
      <c r="J696" t="str">
        <f>HYPERLINK("https://climate.onebuilding.org/WMO_Region_4_North_and_Central_America/USA_United_States_of_America/IL_Illinois/USA_IL_Chicago.OHare.Intl.AP.725300_US.Normals.2006-2020.zip")</f>
        <v>https://climate.onebuilding.org/WMO_Region_4_North_and_Central_America/USA_United_States_of_America/IL_Illinois/USA_IL_Chicago.OHare.Intl.AP.725300_US.Normals.2006-2020.zip</v>
      </c>
    </row>
    <row r="697" spans="1:10" x14ac:dyDescent="0.25">
      <c r="A697" t="s">
        <v>35</v>
      </c>
      <c r="B697" t="s">
        <v>445</v>
      </c>
      <c r="C697" t="s">
        <v>455</v>
      </c>
      <c r="D697" s="2">
        <v>725316</v>
      </c>
      <c r="E697" t="s">
        <v>13</v>
      </c>
      <c r="F697">
        <v>39.834400000000002</v>
      </c>
      <c r="G697">
        <v>-88.865600000000001</v>
      </c>
      <c r="H697">
        <v>-6</v>
      </c>
      <c r="I697">
        <v>205.7</v>
      </c>
      <c r="J697" t="str">
        <f>HYPERLINK("https://climate.onebuilding.org/WMO_Region_4_North_and_Central_America/USA_United_States_of_America/IL_Illinois/USA_IL_Decatur.AP.725316_US.Normals.1981-2010.zip")</f>
        <v>https://climate.onebuilding.org/WMO_Region_4_North_and_Central_America/USA_United_States_of_America/IL_Illinois/USA_IL_Decatur.AP.725316_US.Normals.1981-2010.zip</v>
      </c>
    </row>
    <row r="698" spans="1:10" x14ac:dyDescent="0.25">
      <c r="A698" t="s">
        <v>35</v>
      </c>
      <c r="B698" t="s">
        <v>445</v>
      </c>
      <c r="C698" t="s">
        <v>455</v>
      </c>
      <c r="D698" s="2">
        <v>725316</v>
      </c>
      <c r="E698" t="s">
        <v>13</v>
      </c>
      <c r="F698">
        <v>39.834400000000002</v>
      </c>
      <c r="G698">
        <v>-88.865600000000001</v>
      </c>
      <c r="H698">
        <v>-6</v>
      </c>
      <c r="I698">
        <v>205.7</v>
      </c>
      <c r="J698" t="str">
        <f>HYPERLINK("https://climate.onebuilding.org/WMO_Region_4_North_and_Central_America/USA_United_States_of_America/IL_Illinois/USA_IL_Decatur.AP.725316_US.Normals.1991-2020.zip")</f>
        <v>https://climate.onebuilding.org/WMO_Region_4_North_and_Central_America/USA_United_States_of_America/IL_Illinois/USA_IL_Decatur.AP.725316_US.Normals.1991-2020.zip</v>
      </c>
    </row>
    <row r="699" spans="1:10" x14ac:dyDescent="0.25">
      <c r="A699" t="s">
        <v>35</v>
      </c>
      <c r="B699" t="s">
        <v>445</v>
      </c>
      <c r="C699" t="s">
        <v>455</v>
      </c>
      <c r="D699" s="2">
        <v>725316</v>
      </c>
      <c r="E699" t="s">
        <v>13</v>
      </c>
      <c r="F699">
        <v>39.834400000000002</v>
      </c>
      <c r="G699">
        <v>-88.865600000000001</v>
      </c>
      <c r="H699">
        <v>-6</v>
      </c>
      <c r="I699">
        <v>205.7</v>
      </c>
      <c r="J699" t="str">
        <f>HYPERLINK("https://climate.onebuilding.org/WMO_Region_4_North_and_Central_America/USA_United_States_of_America/IL_Illinois/USA_IL_Decatur.AP.725316_US.Normals.2006-2020.zip")</f>
        <v>https://climate.onebuilding.org/WMO_Region_4_North_and_Central_America/USA_United_States_of_America/IL_Illinois/USA_IL_Decatur.AP.725316_US.Normals.2006-2020.zip</v>
      </c>
    </row>
    <row r="700" spans="1:10" x14ac:dyDescent="0.25">
      <c r="A700" t="s">
        <v>35</v>
      </c>
      <c r="B700" t="s">
        <v>445</v>
      </c>
      <c r="C700" t="s">
        <v>456</v>
      </c>
      <c r="D700" s="2">
        <v>725305</v>
      </c>
      <c r="E700" t="s">
        <v>13</v>
      </c>
      <c r="F700">
        <v>41.914400000000001</v>
      </c>
      <c r="G700">
        <v>-88.246399999999994</v>
      </c>
      <c r="H700">
        <v>-6</v>
      </c>
      <c r="I700">
        <v>229.8</v>
      </c>
      <c r="J700" t="str">
        <f>HYPERLINK("https://climate.onebuilding.org/WMO_Region_4_North_and_Central_America/USA_United_States_of_America/IL_Illinois/USA_IL_Du.Page.AP.725305_US.Normals.1981-2010.zip")</f>
        <v>https://climate.onebuilding.org/WMO_Region_4_North_and_Central_America/USA_United_States_of_America/IL_Illinois/USA_IL_Du.Page.AP.725305_US.Normals.1981-2010.zip</v>
      </c>
    </row>
    <row r="701" spans="1:10" x14ac:dyDescent="0.25">
      <c r="A701" t="s">
        <v>35</v>
      </c>
      <c r="B701" t="s">
        <v>445</v>
      </c>
      <c r="C701" t="s">
        <v>456</v>
      </c>
      <c r="D701" s="2">
        <v>725305</v>
      </c>
      <c r="E701" t="s">
        <v>13</v>
      </c>
      <c r="F701">
        <v>41.914400000000001</v>
      </c>
      <c r="G701">
        <v>-88.246399999999994</v>
      </c>
      <c r="H701">
        <v>-6</v>
      </c>
      <c r="I701">
        <v>229.8</v>
      </c>
      <c r="J701" t="str">
        <f>HYPERLINK("https://climate.onebuilding.org/WMO_Region_4_North_and_Central_America/USA_United_States_of_America/IL_Illinois/USA_IL_Du.Page.AP.725305_US.Normals.1991-2020.zip")</f>
        <v>https://climate.onebuilding.org/WMO_Region_4_North_and_Central_America/USA_United_States_of_America/IL_Illinois/USA_IL_Du.Page.AP.725305_US.Normals.1991-2020.zip</v>
      </c>
    </row>
    <row r="702" spans="1:10" x14ac:dyDescent="0.25">
      <c r="A702" t="s">
        <v>35</v>
      </c>
      <c r="B702" t="s">
        <v>445</v>
      </c>
      <c r="C702" t="s">
        <v>456</v>
      </c>
      <c r="D702" s="2">
        <v>725305</v>
      </c>
      <c r="E702" t="s">
        <v>13</v>
      </c>
      <c r="F702">
        <v>41.914400000000001</v>
      </c>
      <c r="G702">
        <v>-88.246399999999994</v>
      </c>
      <c r="H702">
        <v>-6</v>
      </c>
      <c r="I702">
        <v>229.8</v>
      </c>
      <c r="J702" t="str">
        <f>HYPERLINK("https://climate.onebuilding.org/WMO_Region_4_North_and_Central_America/USA_United_States_of_America/IL_Illinois/USA_IL_Du.Page.AP.725305_US.Normals.2006-2020.zip")</f>
        <v>https://climate.onebuilding.org/WMO_Region_4_North_and_Central_America/USA_United_States_of_America/IL_Illinois/USA_IL_Du.Page.AP.725305_US.Normals.2006-2020.zip</v>
      </c>
    </row>
    <row r="703" spans="1:10" x14ac:dyDescent="0.25">
      <c r="A703" t="s">
        <v>35</v>
      </c>
      <c r="B703" t="s">
        <v>445</v>
      </c>
      <c r="C703" t="s">
        <v>457</v>
      </c>
      <c r="D703" s="2">
        <v>725342</v>
      </c>
      <c r="E703" t="s">
        <v>13</v>
      </c>
      <c r="F703">
        <v>38.764200000000002</v>
      </c>
      <c r="G703">
        <v>-87.605599999999995</v>
      </c>
      <c r="H703">
        <v>-6</v>
      </c>
      <c r="I703">
        <v>130.80000000000001</v>
      </c>
      <c r="J703" t="str">
        <f>HYPERLINK("https://climate.onebuilding.org/WMO_Region_4_North_and_Central_America/USA_United_States_of_America/IL_Illinois/USA_IL_Lawrenceville.Vincennes.Intl.AP.725342_US.Normals.2006-2020.zip")</f>
        <v>https://climate.onebuilding.org/WMO_Region_4_North_and_Central_America/USA_United_States_of_America/IL_Illinois/USA_IL_Lawrenceville.Vincennes.Intl.AP.725342_US.Normals.2006-2020.zip</v>
      </c>
    </row>
    <row r="704" spans="1:10" x14ac:dyDescent="0.25">
      <c r="A704" t="s">
        <v>35</v>
      </c>
      <c r="B704" t="s">
        <v>445</v>
      </c>
      <c r="C704" t="s">
        <v>458</v>
      </c>
      <c r="D704" s="2">
        <v>725317</v>
      </c>
      <c r="E704" t="s">
        <v>13</v>
      </c>
      <c r="F704">
        <v>39.478099999999998</v>
      </c>
      <c r="G704">
        <v>-88.280299999999997</v>
      </c>
      <c r="H704">
        <v>-6</v>
      </c>
      <c r="I704">
        <v>219.8</v>
      </c>
      <c r="J704" t="str">
        <f>HYPERLINK("https://climate.onebuilding.org/WMO_Region_4_North_and_Central_America/USA_United_States_of_America/IL_Illinois/USA_IL_Mattoon-Coles.County.Meml.AP.725317_US.Normals.2006-2020.zip")</f>
        <v>https://climate.onebuilding.org/WMO_Region_4_North_and_Central_America/USA_United_States_of_America/IL_Illinois/USA_IL_Mattoon-Coles.County.Meml.AP.725317_US.Normals.2006-2020.zip</v>
      </c>
    </row>
    <row r="705" spans="1:10" x14ac:dyDescent="0.25">
      <c r="A705" t="s">
        <v>35</v>
      </c>
      <c r="B705" t="s">
        <v>445</v>
      </c>
      <c r="C705" t="s">
        <v>459</v>
      </c>
      <c r="D705" s="2">
        <v>725440</v>
      </c>
      <c r="E705" t="s">
        <v>13</v>
      </c>
      <c r="F705">
        <v>41.465299999999999</v>
      </c>
      <c r="G705">
        <v>-90.523300000000006</v>
      </c>
      <c r="H705">
        <v>-6</v>
      </c>
      <c r="I705">
        <v>180.4</v>
      </c>
      <c r="J705" t="str">
        <f>HYPERLINK("https://climate.onebuilding.org/WMO_Region_4_North_and_Central_America/USA_United_States_of_America/IL_Illinois/USA_IL_Moline-Quad.City.Intl.AP.725440_US.Normals.1981-2010.zip")</f>
        <v>https://climate.onebuilding.org/WMO_Region_4_North_and_Central_America/USA_United_States_of_America/IL_Illinois/USA_IL_Moline-Quad.City.Intl.AP.725440_US.Normals.1981-2010.zip</v>
      </c>
    </row>
    <row r="706" spans="1:10" x14ac:dyDescent="0.25">
      <c r="A706" t="s">
        <v>35</v>
      </c>
      <c r="B706" t="s">
        <v>445</v>
      </c>
      <c r="C706" t="s">
        <v>459</v>
      </c>
      <c r="D706" s="2">
        <v>725440</v>
      </c>
      <c r="E706" t="s">
        <v>13</v>
      </c>
      <c r="F706">
        <v>41.465299999999999</v>
      </c>
      <c r="G706">
        <v>-90.523300000000006</v>
      </c>
      <c r="H706">
        <v>-6</v>
      </c>
      <c r="I706">
        <v>180.4</v>
      </c>
      <c r="J706" t="str">
        <f>HYPERLINK("https://climate.onebuilding.org/WMO_Region_4_North_and_Central_America/USA_United_States_of_America/IL_Illinois/USA_IL_Moline-Quad.City.Intl.AP.725440_US.Normals.1991-2020.zip")</f>
        <v>https://climate.onebuilding.org/WMO_Region_4_North_and_Central_America/USA_United_States_of_America/IL_Illinois/USA_IL_Moline-Quad.City.Intl.AP.725440_US.Normals.1991-2020.zip</v>
      </c>
    </row>
    <row r="707" spans="1:10" x14ac:dyDescent="0.25">
      <c r="A707" t="s">
        <v>35</v>
      </c>
      <c r="B707" t="s">
        <v>445</v>
      </c>
      <c r="C707" t="s">
        <v>459</v>
      </c>
      <c r="D707" s="2">
        <v>725440</v>
      </c>
      <c r="E707" t="s">
        <v>13</v>
      </c>
      <c r="F707">
        <v>41.465299999999999</v>
      </c>
      <c r="G707">
        <v>-90.523300000000006</v>
      </c>
      <c r="H707">
        <v>-6</v>
      </c>
      <c r="I707">
        <v>180.4</v>
      </c>
      <c r="J707" t="str">
        <f>HYPERLINK("https://climate.onebuilding.org/WMO_Region_4_North_and_Central_America/USA_United_States_of_America/IL_Illinois/USA_IL_Moline-Quad.City.Intl.AP.725440_US.Normals.2006-2020.zip")</f>
        <v>https://climate.onebuilding.org/WMO_Region_4_North_and_Central_America/USA_United_States_of_America/IL_Illinois/USA_IL_Moline-Quad.City.Intl.AP.725440_US.Normals.2006-2020.zip</v>
      </c>
    </row>
    <row r="708" spans="1:10" x14ac:dyDescent="0.25">
      <c r="A708" t="s">
        <v>35</v>
      </c>
      <c r="B708" t="s">
        <v>445</v>
      </c>
      <c r="C708" t="s">
        <v>460</v>
      </c>
      <c r="D708" s="2">
        <v>724970</v>
      </c>
      <c r="E708" t="s">
        <v>13</v>
      </c>
      <c r="F708">
        <v>41.8431</v>
      </c>
      <c r="G708">
        <v>-88.851399999999998</v>
      </c>
      <c r="H708">
        <v>-6</v>
      </c>
      <c r="I708">
        <v>262.39999999999998</v>
      </c>
      <c r="J708" t="str">
        <f>HYPERLINK("https://climate.onebuilding.org/WMO_Region_4_North_and_Central_America/USA_United_States_of_America/IL_Illinois/USA_IL_Northern.Illinois.Agronomy.Research.Center.724970_US.Normals.2006-2020.zip")</f>
        <v>https://climate.onebuilding.org/WMO_Region_4_North_and_Central_America/USA_United_States_of_America/IL_Illinois/USA_IL_Northern.Illinois.Agronomy.Research.Center.724970_US.Normals.2006-2020.zip</v>
      </c>
    </row>
    <row r="709" spans="1:10" x14ac:dyDescent="0.25">
      <c r="A709" t="s">
        <v>35</v>
      </c>
      <c r="B709" t="s">
        <v>445</v>
      </c>
      <c r="C709" t="s">
        <v>461</v>
      </c>
      <c r="D709" s="2">
        <v>725320</v>
      </c>
      <c r="E709" t="s">
        <v>13</v>
      </c>
      <c r="F709">
        <v>40.667499999999997</v>
      </c>
      <c r="G709">
        <v>-89.683899999999994</v>
      </c>
      <c r="H709">
        <v>-6</v>
      </c>
      <c r="I709">
        <v>198.1</v>
      </c>
      <c r="J709" t="str">
        <f>HYPERLINK("https://climate.onebuilding.org/WMO_Region_4_North_and_Central_America/USA_United_States_of_America/IL_Illinois/USA_IL_Peoria-Downing.Peoria.Intl.AP.725320_US.Normals.1981-2010.zip")</f>
        <v>https://climate.onebuilding.org/WMO_Region_4_North_and_Central_America/USA_United_States_of_America/IL_Illinois/USA_IL_Peoria-Downing.Peoria.Intl.AP.725320_US.Normals.1981-2010.zip</v>
      </c>
    </row>
    <row r="710" spans="1:10" x14ac:dyDescent="0.25">
      <c r="A710" t="s">
        <v>35</v>
      </c>
      <c r="B710" t="s">
        <v>445</v>
      </c>
      <c r="C710" t="s">
        <v>461</v>
      </c>
      <c r="D710" s="2">
        <v>725320</v>
      </c>
      <c r="E710" t="s">
        <v>13</v>
      </c>
      <c r="F710">
        <v>40.667499999999997</v>
      </c>
      <c r="G710">
        <v>-89.683899999999994</v>
      </c>
      <c r="H710">
        <v>-6</v>
      </c>
      <c r="I710">
        <v>198.1</v>
      </c>
      <c r="J710" t="str">
        <f>HYPERLINK("https://climate.onebuilding.org/WMO_Region_4_North_and_Central_America/USA_United_States_of_America/IL_Illinois/USA_IL_Peoria-Downing.Peoria.Intl.AP.725320_US.Normals.1991-2020.zip")</f>
        <v>https://climate.onebuilding.org/WMO_Region_4_North_and_Central_America/USA_United_States_of_America/IL_Illinois/USA_IL_Peoria-Downing.Peoria.Intl.AP.725320_US.Normals.1991-2020.zip</v>
      </c>
    </row>
    <row r="711" spans="1:10" x14ac:dyDescent="0.25">
      <c r="A711" t="s">
        <v>35</v>
      </c>
      <c r="B711" t="s">
        <v>445</v>
      </c>
      <c r="C711" t="s">
        <v>461</v>
      </c>
      <c r="D711" s="2">
        <v>725320</v>
      </c>
      <c r="E711" t="s">
        <v>13</v>
      </c>
      <c r="F711">
        <v>40.667499999999997</v>
      </c>
      <c r="G711">
        <v>-89.683899999999994</v>
      </c>
      <c r="H711">
        <v>-6</v>
      </c>
      <c r="I711">
        <v>198.1</v>
      </c>
      <c r="J711" t="str">
        <f>HYPERLINK("https://climate.onebuilding.org/WMO_Region_4_North_and_Central_America/USA_United_States_of_America/IL_Illinois/USA_IL_Peoria-Downing.Peoria.Intl.AP.725320_US.Normals.2006-2020.zip")</f>
        <v>https://climate.onebuilding.org/WMO_Region_4_North_and_Central_America/USA_United_States_of_America/IL_Illinois/USA_IL_Peoria-Downing.Peoria.Intl.AP.725320_US.Normals.2006-2020.zip</v>
      </c>
    </row>
    <row r="712" spans="1:10" x14ac:dyDescent="0.25">
      <c r="A712" t="s">
        <v>35</v>
      </c>
      <c r="B712" t="s">
        <v>445</v>
      </c>
      <c r="C712" t="s">
        <v>462</v>
      </c>
      <c r="D712" s="2">
        <v>724430</v>
      </c>
      <c r="E712" t="s">
        <v>13</v>
      </c>
      <c r="F712">
        <v>39.936900000000001</v>
      </c>
      <c r="G712">
        <v>-91.191900000000004</v>
      </c>
      <c r="H712">
        <v>-6</v>
      </c>
      <c r="I712">
        <v>234.4</v>
      </c>
      <c r="J712" t="str">
        <f>HYPERLINK("https://climate.onebuilding.org/WMO_Region_4_North_and_Central_America/USA_United_States_of_America/IL_Illinois/USA_IL_Quincy.Rgnl.AP-Baldwin.Field.724430_US.Normals.1981-2010.zip")</f>
        <v>https://climate.onebuilding.org/WMO_Region_4_North_and_Central_America/USA_United_States_of_America/IL_Illinois/USA_IL_Quincy.Rgnl.AP-Baldwin.Field.724430_US.Normals.1981-2010.zip</v>
      </c>
    </row>
    <row r="713" spans="1:10" x14ac:dyDescent="0.25">
      <c r="A713" t="s">
        <v>35</v>
      </c>
      <c r="B713" t="s">
        <v>445</v>
      </c>
      <c r="C713" t="s">
        <v>462</v>
      </c>
      <c r="D713" s="2">
        <v>724430</v>
      </c>
      <c r="E713" t="s">
        <v>13</v>
      </c>
      <c r="F713">
        <v>39.936900000000001</v>
      </c>
      <c r="G713">
        <v>-91.191900000000004</v>
      </c>
      <c r="H713">
        <v>-6</v>
      </c>
      <c r="I713">
        <v>234.4</v>
      </c>
      <c r="J713" t="str">
        <f>HYPERLINK("https://climate.onebuilding.org/WMO_Region_4_North_and_Central_America/USA_United_States_of_America/IL_Illinois/USA_IL_Quincy.Rgnl.AP-Baldwin.Field.724430_US.Normals.2006-2020.zip")</f>
        <v>https://climate.onebuilding.org/WMO_Region_4_North_and_Central_America/USA_United_States_of_America/IL_Illinois/USA_IL_Quincy.Rgnl.AP-Baldwin.Field.724430_US.Normals.2006-2020.zip</v>
      </c>
    </row>
    <row r="714" spans="1:10" x14ac:dyDescent="0.25">
      <c r="A714" t="s">
        <v>35</v>
      </c>
      <c r="B714" t="s">
        <v>445</v>
      </c>
      <c r="C714" t="s">
        <v>463</v>
      </c>
      <c r="D714" s="2">
        <v>725430</v>
      </c>
      <c r="E714" t="s">
        <v>13</v>
      </c>
      <c r="F714">
        <v>42.192799999999998</v>
      </c>
      <c r="G714">
        <v>-89.093100000000007</v>
      </c>
      <c r="H714">
        <v>-6</v>
      </c>
      <c r="I714">
        <v>222.5</v>
      </c>
      <c r="J714" t="str">
        <f>HYPERLINK("https://climate.onebuilding.org/WMO_Region_4_North_and_Central_America/USA_United_States_of_America/IL_Illinois/USA_IL_Rockford-Chicago.Rockford.Intl.AP.725430_US.Normals.1981-2010.zip")</f>
        <v>https://climate.onebuilding.org/WMO_Region_4_North_and_Central_America/USA_United_States_of_America/IL_Illinois/USA_IL_Rockford-Chicago.Rockford.Intl.AP.725430_US.Normals.1981-2010.zip</v>
      </c>
    </row>
    <row r="715" spans="1:10" x14ac:dyDescent="0.25">
      <c r="A715" t="s">
        <v>35</v>
      </c>
      <c r="B715" t="s">
        <v>445</v>
      </c>
      <c r="C715" t="s">
        <v>463</v>
      </c>
      <c r="D715" s="2">
        <v>725430</v>
      </c>
      <c r="E715" t="s">
        <v>13</v>
      </c>
      <c r="F715">
        <v>42.192799999999998</v>
      </c>
      <c r="G715">
        <v>-89.093100000000007</v>
      </c>
      <c r="H715">
        <v>-6</v>
      </c>
      <c r="I715">
        <v>222.5</v>
      </c>
      <c r="J715" t="str">
        <f>HYPERLINK("https://climate.onebuilding.org/WMO_Region_4_North_and_Central_America/USA_United_States_of_America/IL_Illinois/USA_IL_Rockford-Chicago.Rockford.Intl.AP.725430_US.Normals.1991-2020.zip")</f>
        <v>https://climate.onebuilding.org/WMO_Region_4_North_and_Central_America/USA_United_States_of_America/IL_Illinois/USA_IL_Rockford-Chicago.Rockford.Intl.AP.725430_US.Normals.1991-2020.zip</v>
      </c>
    </row>
    <row r="716" spans="1:10" x14ac:dyDescent="0.25">
      <c r="A716" t="s">
        <v>35</v>
      </c>
      <c r="B716" t="s">
        <v>445</v>
      </c>
      <c r="C716" t="s">
        <v>463</v>
      </c>
      <c r="D716" s="2">
        <v>725430</v>
      </c>
      <c r="E716" t="s">
        <v>13</v>
      </c>
      <c r="F716">
        <v>42.192799999999998</v>
      </c>
      <c r="G716">
        <v>-89.093100000000007</v>
      </c>
      <c r="H716">
        <v>-6</v>
      </c>
      <c r="I716">
        <v>222.5</v>
      </c>
      <c r="J716" t="str">
        <f>HYPERLINK("https://climate.onebuilding.org/WMO_Region_4_North_and_Central_America/USA_United_States_of_America/IL_Illinois/USA_IL_Rockford-Chicago.Rockford.Intl.AP.725430_US.Normals.2006-2020.zip")</f>
        <v>https://climate.onebuilding.org/WMO_Region_4_North_and_Central_America/USA_United_States_of_America/IL_Illinois/USA_IL_Rockford-Chicago.Rockford.Intl.AP.725430_US.Normals.2006-2020.zip</v>
      </c>
    </row>
    <row r="717" spans="1:10" x14ac:dyDescent="0.25">
      <c r="A717" t="s">
        <v>35</v>
      </c>
      <c r="B717" t="s">
        <v>445</v>
      </c>
      <c r="C717" t="s">
        <v>464</v>
      </c>
      <c r="D717" s="2">
        <v>724390</v>
      </c>
      <c r="E717" t="s">
        <v>13</v>
      </c>
      <c r="F717">
        <v>39.844700000000003</v>
      </c>
      <c r="G717">
        <v>-89.683899999999994</v>
      </c>
      <c r="H717">
        <v>-6</v>
      </c>
      <c r="I717">
        <v>181.1</v>
      </c>
      <c r="J717" t="str">
        <f>HYPERLINK("https://climate.onebuilding.org/WMO_Region_4_North_and_Central_America/USA_United_States_of_America/IL_Illinois/USA_IL_Springfield-Lincoln.Capital.AP.724390_US.Normals.1981-2010.zip")</f>
        <v>https://climate.onebuilding.org/WMO_Region_4_North_and_Central_America/USA_United_States_of_America/IL_Illinois/USA_IL_Springfield-Lincoln.Capital.AP.724390_US.Normals.1981-2010.zip</v>
      </c>
    </row>
    <row r="718" spans="1:10" x14ac:dyDescent="0.25">
      <c r="A718" t="s">
        <v>35</v>
      </c>
      <c r="B718" t="s">
        <v>445</v>
      </c>
      <c r="C718" t="s">
        <v>464</v>
      </c>
      <c r="D718" s="2">
        <v>724390</v>
      </c>
      <c r="E718" t="s">
        <v>13</v>
      </c>
      <c r="F718">
        <v>39.844700000000003</v>
      </c>
      <c r="G718">
        <v>-89.683899999999994</v>
      </c>
      <c r="H718">
        <v>-6</v>
      </c>
      <c r="I718">
        <v>181.1</v>
      </c>
      <c r="J718" t="str">
        <f>HYPERLINK("https://climate.onebuilding.org/WMO_Region_4_North_and_Central_America/USA_United_States_of_America/IL_Illinois/USA_IL_Springfield-Lincoln.Capital.AP.724390_US.Normals.1991-2020.zip")</f>
        <v>https://climate.onebuilding.org/WMO_Region_4_North_and_Central_America/USA_United_States_of_America/IL_Illinois/USA_IL_Springfield-Lincoln.Capital.AP.724390_US.Normals.1991-2020.zip</v>
      </c>
    </row>
    <row r="719" spans="1:10" x14ac:dyDescent="0.25">
      <c r="A719" t="s">
        <v>35</v>
      </c>
      <c r="B719" t="s">
        <v>445</v>
      </c>
      <c r="C719" t="s">
        <v>464</v>
      </c>
      <c r="D719" s="2">
        <v>724390</v>
      </c>
      <c r="E719" t="s">
        <v>13</v>
      </c>
      <c r="F719">
        <v>39.844700000000003</v>
      </c>
      <c r="G719">
        <v>-89.683899999999994</v>
      </c>
      <c r="H719">
        <v>-6</v>
      </c>
      <c r="I719">
        <v>181.1</v>
      </c>
      <c r="J719" t="str">
        <f>HYPERLINK("https://climate.onebuilding.org/WMO_Region_4_North_and_Central_America/USA_United_States_of_America/IL_Illinois/USA_IL_Springfield-Lincoln.Capital.AP.724390_US.Normals.2006-2020.zip")</f>
        <v>https://climate.onebuilding.org/WMO_Region_4_North_and_Central_America/USA_United_States_of_America/IL_Illinois/USA_IL_Springfield-Lincoln.Capital.AP.724390_US.Normals.2006-2020.zip</v>
      </c>
    </row>
    <row r="720" spans="1:10" x14ac:dyDescent="0.25">
      <c r="A720" t="s">
        <v>35</v>
      </c>
      <c r="B720" t="s">
        <v>445</v>
      </c>
      <c r="C720" t="s">
        <v>465</v>
      </c>
      <c r="D720" s="2">
        <v>725347</v>
      </c>
      <c r="E720" t="s">
        <v>13</v>
      </c>
      <c r="F720">
        <v>42.416699999999999</v>
      </c>
      <c r="G720">
        <v>-87.866699999999994</v>
      </c>
      <c r="H720">
        <v>-6</v>
      </c>
      <c r="I720">
        <v>221.6</v>
      </c>
      <c r="J720" t="str">
        <f>HYPERLINK("https://climate.onebuilding.org/WMO_Region_4_North_and_Central_America/USA_United_States_of_America/IL_Illinois/USA_IL_Waukegan.Natl.AP.725347_US.Normals.2006-2020.zip")</f>
        <v>https://climate.onebuilding.org/WMO_Region_4_North_and_Central_America/USA_United_States_of_America/IL_Illinois/USA_IL_Waukegan.Natl.AP.725347_US.Normals.2006-2020.zip</v>
      </c>
    </row>
    <row r="721" spans="1:10" x14ac:dyDescent="0.25">
      <c r="A721" t="s">
        <v>35</v>
      </c>
      <c r="B721" t="s">
        <v>466</v>
      </c>
      <c r="C721" t="s">
        <v>467</v>
      </c>
      <c r="D721" s="2">
        <v>724310</v>
      </c>
      <c r="E721" t="s">
        <v>13</v>
      </c>
      <c r="F721">
        <v>38.888300000000001</v>
      </c>
      <c r="G721">
        <v>-86.570800000000006</v>
      </c>
      <c r="H721">
        <v>-6</v>
      </c>
      <c r="I721">
        <v>231.6</v>
      </c>
      <c r="J721" t="str">
        <f>HYPERLINK("https://climate.onebuilding.org/WMO_Region_4_North_and_Central_America/USA_United_States_of_America/IN_Indiana/USA_IN_Bedford-FPAC.Feldun.Purdue.Agriculture.Center.724310_US.Normals.2006-2020.zip")</f>
        <v>https://climate.onebuilding.org/WMO_Region_4_North_and_Central_America/USA_United_States_of_America/IN_Indiana/USA_IN_Bedford-FPAC.Feldun.Purdue.Agriculture.Center.724310_US.Normals.2006-2020.zip</v>
      </c>
    </row>
    <row r="722" spans="1:10" x14ac:dyDescent="0.25">
      <c r="A722" t="s">
        <v>35</v>
      </c>
      <c r="B722" t="s">
        <v>466</v>
      </c>
      <c r="C722" t="s">
        <v>468</v>
      </c>
      <c r="D722" s="2">
        <v>724375</v>
      </c>
      <c r="E722" t="s">
        <v>13</v>
      </c>
      <c r="F722">
        <v>39.133299999999998</v>
      </c>
      <c r="G722">
        <v>-86.616699999999994</v>
      </c>
      <c r="H722">
        <v>-6</v>
      </c>
      <c r="I722">
        <v>257.3</v>
      </c>
      <c r="J722" t="str">
        <f>HYPERLINK("https://climate.onebuilding.org/WMO_Region_4_North_and_Central_America/USA_United_States_of_America/IN_Indiana/USA_IN_Bloomington-Monroe.County.AP.724375_US.Normals.2006-2020.zip")</f>
        <v>https://climate.onebuilding.org/WMO_Region_4_North_and_Central_America/USA_United_States_of_America/IN_Indiana/USA_IN_Bloomington-Monroe.County.AP.724375_US.Normals.2006-2020.zip</v>
      </c>
    </row>
    <row r="723" spans="1:10" x14ac:dyDescent="0.25">
      <c r="A723" t="s">
        <v>35</v>
      </c>
      <c r="B723" t="s">
        <v>466</v>
      </c>
      <c r="C723" t="s">
        <v>469</v>
      </c>
      <c r="D723" s="2">
        <v>724320</v>
      </c>
      <c r="E723" t="s">
        <v>13</v>
      </c>
      <c r="F723">
        <v>38.044199999999996</v>
      </c>
      <c r="G723">
        <v>-87.520600000000002</v>
      </c>
      <c r="H723">
        <v>-6</v>
      </c>
      <c r="I723">
        <v>121.9</v>
      </c>
      <c r="J723" t="str">
        <f>HYPERLINK("https://climate.onebuilding.org/WMO_Region_4_North_and_Central_America/USA_United_States_of_America/IN_Indiana/USA_IN_Evansville.Rgnl.AP.724320_US.Normals.1981-2010.zip")</f>
        <v>https://climate.onebuilding.org/WMO_Region_4_North_and_Central_America/USA_United_States_of_America/IN_Indiana/USA_IN_Evansville.Rgnl.AP.724320_US.Normals.1981-2010.zip</v>
      </c>
    </row>
    <row r="724" spans="1:10" x14ac:dyDescent="0.25">
      <c r="A724" t="s">
        <v>35</v>
      </c>
      <c r="B724" t="s">
        <v>466</v>
      </c>
      <c r="C724" t="s">
        <v>469</v>
      </c>
      <c r="D724" s="2">
        <v>724320</v>
      </c>
      <c r="E724" t="s">
        <v>13</v>
      </c>
      <c r="F724">
        <v>38.044199999999996</v>
      </c>
      <c r="G724">
        <v>-87.520600000000002</v>
      </c>
      <c r="H724">
        <v>-6</v>
      </c>
      <c r="I724">
        <v>121.9</v>
      </c>
      <c r="J724" t="str">
        <f>HYPERLINK("https://climate.onebuilding.org/WMO_Region_4_North_and_Central_America/USA_United_States_of_America/IN_Indiana/USA_IN_Evansville.Rgnl.AP.724320_US.Normals.1991-2020.zip")</f>
        <v>https://climate.onebuilding.org/WMO_Region_4_North_and_Central_America/USA_United_States_of_America/IN_Indiana/USA_IN_Evansville.Rgnl.AP.724320_US.Normals.1991-2020.zip</v>
      </c>
    </row>
    <row r="725" spans="1:10" x14ac:dyDescent="0.25">
      <c r="A725" t="s">
        <v>35</v>
      </c>
      <c r="B725" t="s">
        <v>466</v>
      </c>
      <c r="C725" t="s">
        <v>469</v>
      </c>
      <c r="D725" s="2">
        <v>724320</v>
      </c>
      <c r="E725" t="s">
        <v>13</v>
      </c>
      <c r="F725">
        <v>38.044199999999996</v>
      </c>
      <c r="G725">
        <v>-87.520600000000002</v>
      </c>
      <c r="H725">
        <v>-6</v>
      </c>
      <c r="I725">
        <v>121.9</v>
      </c>
      <c r="J725" t="str">
        <f>HYPERLINK("https://climate.onebuilding.org/WMO_Region_4_North_and_Central_America/USA_United_States_of_America/IN_Indiana/USA_IN_Evansville.Rgnl.AP.724320_US.Normals.2006-2020.zip")</f>
        <v>https://climate.onebuilding.org/WMO_Region_4_North_and_Central_America/USA_United_States_of_America/IN_Indiana/USA_IN_Evansville.Rgnl.AP.724320_US.Normals.2006-2020.zip</v>
      </c>
    </row>
    <row r="726" spans="1:10" x14ac:dyDescent="0.25">
      <c r="A726" t="s">
        <v>35</v>
      </c>
      <c r="B726" t="s">
        <v>466</v>
      </c>
      <c r="C726" t="s">
        <v>470</v>
      </c>
      <c r="D726" s="2">
        <v>725330</v>
      </c>
      <c r="E726" t="s">
        <v>13</v>
      </c>
      <c r="F726">
        <v>40.970599999999997</v>
      </c>
      <c r="G726">
        <v>-85.206400000000002</v>
      </c>
      <c r="H726">
        <v>-6</v>
      </c>
      <c r="I726">
        <v>241.1</v>
      </c>
      <c r="J726" t="str">
        <f>HYPERLINK("https://climate.onebuilding.org/WMO_Region_4_North_and_Central_America/USA_United_States_of_America/IN_Indiana/USA_IN_Fort.Wayne.Intl.AP.725330_US.Normals.1991-2020.zip")</f>
        <v>https://climate.onebuilding.org/WMO_Region_4_North_and_Central_America/USA_United_States_of_America/IN_Indiana/USA_IN_Fort.Wayne.Intl.AP.725330_US.Normals.1991-2020.zip</v>
      </c>
    </row>
    <row r="727" spans="1:10" x14ac:dyDescent="0.25">
      <c r="A727" t="s">
        <v>35</v>
      </c>
      <c r="B727" t="s">
        <v>466</v>
      </c>
      <c r="C727" t="s">
        <v>471</v>
      </c>
      <c r="D727" s="2">
        <v>724388</v>
      </c>
      <c r="E727" t="s">
        <v>13</v>
      </c>
      <c r="F727">
        <v>41.527200000000001</v>
      </c>
      <c r="G727">
        <v>-85.792199999999994</v>
      </c>
      <c r="H727">
        <v>-6</v>
      </c>
      <c r="I727">
        <v>252.1</v>
      </c>
      <c r="J727" t="str">
        <f>HYPERLINK("https://climate.onebuilding.org/WMO_Region_4_North_and_Central_America/USA_United_States_of_America/IN_Indiana/USA_IN_Goshen.Muni.AP.724388_US.Normals.2006-2020.zip")</f>
        <v>https://climate.onebuilding.org/WMO_Region_4_North_and_Central_America/USA_United_States_of_America/IN_Indiana/USA_IN_Goshen.Muni.AP.724388_US.Normals.2006-2020.zip</v>
      </c>
    </row>
    <row r="728" spans="1:10" x14ac:dyDescent="0.25">
      <c r="A728" t="s">
        <v>35</v>
      </c>
      <c r="B728" t="s">
        <v>466</v>
      </c>
      <c r="C728" t="s">
        <v>472</v>
      </c>
      <c r="D728" s="2">
        <v>725335</v>
      </c>
      <c r="E728" t="s">
        <v>13</v>
      </c>
      <c r="F728">
        <v>40.65</v>
      </c>
      <c r="G728">
        <v>-86.15</v>
      </c>
      <c r="H728">
        <v>-6</v>
      </c>
      <c r="I728">
        <v>250.9</v>
      </c>
      <c r="J728" t="str">
        <f>HYPERLINK("https://climate.onebuilding.org/WMO_Region_4_North_and_Central_America/USA_United_States_of_America/IN_Indiana/USA_IN_Grissom.ARB.725335_US.Normals.2006-2020.zip")</f>
        <v>https://climate.onebuilding.org/WMO_Region_4_North_and_Central_America/USA_United_States_of_America/IN_Indiana/USA_IN_Grissom.ARB.725335_US.Normals.2006-2020.zip</v>
      </c>
    </row>
    <row r="729" spans="1:10" x14ac:dyDescent="0.25">
      <c r="A729" t="s">
        <v>35</v>
      </c>
      <c r="B729" t="s">
        <v>466</v>
      </c>
      <c r="C729" t="s">
        <v>473</v>
      </c>
      <c r="D729" s="2">
        <v>724384</v>
      </c>
      <c r="E729" t="s">
        <v>13</v>
      </c>
      <c r="F729">
        <v>39.825000000000003</v>
      </c>
      <c r="G729">
        <v>-86.2958</v>
      </c>
      <c r="H729">
        <v>-6</v>
      </c>
      <c r="I729">
        <v>250.9</v>
      </c>
      <c r="J729" t="str">
        <f>HYPERLINK("https://climate.onebuilding.org/WMO_Region_4_North_and_Central_America/USA_United_States_of_America/IN_Indiana/USA_IN_Indianapolis-Eagle.Creek.AP.724384_US.Normals.2006-2020.zip")</f>
        <v>https://climate.onebuilding.org/WMO_Region_4_North_and_Central_America/USA_United_States_of_America/IN_Indiana/USA_IN_Indianapolis-Eagle.Creek.AP.724384_US.Normals.2006-2020.zip</v>
      </c>
    </row>
    <row r="730" spans="1:10" x14ac:dyDescent="0.25">
      <c r="A730" t="s">
        <v>35</v>
      </c>
      <c r="B730" t="s">
        <v>466</v>
      </c>
      <c r="C730" t="s">
        <v>474</v>
      </c>
      <c r="D730" s="2">
        <v>724380</v>
      </c>
      <c r="E730" t="s">
        <v>13</v>
      </c>
      <c r="F730">
        <v>39.707500000000003</v>
      </c>
      <c r="G730">
        <v>-86.280299999999997</v>
      </c>
      <c r="H730">
        <v>-6</v>
      </c>
      <c r="I730">
        <v>240.8</v>
      </c>
      <c r="J730" t="str">
        <f>HYPERLINK("https://climate.onebuilding.org/WMO_Region_4_North_and_Central_America/USA_United_States_of_America/IN_Indiana/USA_IN_Indianapolis.Intl.AP.724380_US.Normals.1981-2010.zip")</f>
        <v>https://climate.onebuilding.org/WMO_Region_4_North_and_Central_America/USA_United_States_of_America/IN_Indiana/USA_IN_Indianapolis.Intl.AP.724380_US.Normals.1981-2010.zip</v>
      </c>
    </row>
    <row r="731" spans="1:10" x14ac:dyDescent="0.25">
      <c r="A731" t="s">
        <v>35</v>
      </c>
      <c r="B731" t="s">
        <v>466</v>
      </c>
      <c r="C731" t="s">
        <v>474</v>
      </c>
      <c r="D731" s="2">
        <v>724380</v>
      </c>
      <c r="E731" t="s">
        <v>13</v>
      </c>
      <c r="F731">
        <v>39.707500000000003</v>
      </c>
      <c r="G731">
        <v>-86.280299999999997</v>
      </c>
      <c r="H731">
        <v>-6</v>
      </c>
      <c r="I731">
        <v>240.8</v>
      </c>
      <c r="J731" t="str">
        <f>HYPERLINK("https://climate.onebuilding.org/WMO_Region_4_North_and_Central_America/USA_United_States_of_America/IN_Indiana/USA_IN_Indianapolis.Intl.AP.724380_US.Normals.1991-2020.zip")</f>
        <v>https://climate.onebuilding.org/WMO_Region_4_North_and_Central_America/USA_United_States_of_America/IN_Indiana/USA_IN_Indianapolis.Intl.AP.724380_US.Normals.1991-2020.zip</v>
      </c>
    </row>
    <row r="732" spans="1:10" x14ac:dyDescent="0.25">
      <c r="A732" t="s">
        <v>35</v>
      </c>
      <c r="B732" t="s">
        <v>466</v>
      </c>
      <c r="C732" t="s">
        <v>474</v>
      </c>
      <c r="D732" s="2">
        <v>724380</v>
      </c>
      <c r="E732" t="s">
        <v>13</v>
      </c>
      <c r="F732">
        <v>39.707500000000003</v>
      </c>
      <c r="G732">
        <v>-86.280299999999997</v>
      </c>
      <c r="H732">
        <v>-6</v>
      </c>
      <c r="I732">
        <v>240.8</v>
      </c>
      <c r="J732" t="str">
        <f>HYPERLINK("https://climate.onebuilding.org/WMO_Region_4_North_and_Central_America/USA_United_States_of_America/IN_Indiana/USA_IN_Indianapolis.Intl.AP.724380_US.Normals.2006-2020.zip")</f>
        <v>https://climate.onebuilding.org/WMO_Region_4_North_and_Central_America/USA_United_States_of_America/IN_Indiana/USA_IN_Indianapolis.Intl.AP.724380_US.Normals.2006-2020.zip</v>
      </c>
    </row>
    <row r="733" spans="1:10" x14ac:dyDescent="0.25">
      <c r="A733" t="s">
        <v>35</v>
      </c>
      <c r="B733" t="s">
        <v>466</v>
      </c>
      <c r="C733" t="s">
        <v>475</v>
      </c>
      <c r="D733" s="2">
        <v>724386</v>
      </c>
      <c r="E733" t="s">
        <v>13</v>
      </c>
      <c r="F733">
        <v>40.412199999999999</v>
      </c>
      <c r="G733">
        <v>-86.936899999999994</v>
      </c>
      <c r="H733">
        <v>-6</v>
      </c>
      <c r="I733">
        <v>182.6</v>
      </c>
      <c r="J733" t="str">
        <f>HYPERLINK("https://climate.onebuilding.org/WMO_Region_4_North_and_Central_America/USA_United_States_of_America/IN_Indiana/USA_IN_Lafayette-Purdue.Univ.AP.724386_US.Normals.1981-2010.zip")</f>
        <v>https://climate.onebuilding.org/WMO_Region_4_North_and_Central_America/USA_United_States_of_America/IN_Indiana/USA_IN_Lafayette-Purdue.Univ.AP.724386_US.Normals.1981-2010.zip</v>
      </c>
    </row>
    <row r="734" spans="1:10" x14ac:dyDescent="0.25">
      <c r="A734" t="s">
        <v>35</v>
      </c>
      <c r="B734" t="s">
        <v>466</v>
      </c>
      <c r="C734" t="s">
        <v>475</v>
      </c>
      <c r="D734" s="2">
        <v>724386</v>
      </c>
      <c r="E734" t="s">
        <v>13</v>
      </c>
      <c r="F734">
        <v>40.412199999999999</v>
      </c>
      <c r="G734">
        <v>-86.936899999999994</v>
      </c>
      <c r="H734">
        <v>-6</v>
      </c>
      <c r="I734">
        <v>182.6</v>
      </c>
      <c r="J734" t="str">
        <f>HYPERLINK("https://climate.onebuilding.org/WMO_Region_4_North_and_Central_America/USA_United_States_of_America/IN_Indiana/USA_IN_Lafayette-Purdue.Univ.AP.724386_US.Normals.1991-2020.zip")</f>
        <v>https://climate.onebuilding.org/WMO_Region_4_North_and_Central_America/USA_United_States_of_America/IN_Indiana/USA_IN_Lafayette-Purdue.Univ.AP.724386_US.Normals.1991-2020.zip</v>
      </c>
    </row>
    <row r="735" spans="1:10" x14ac:dyDescent="0.25">
      <c r="A735" t="s">
        <v>35</v>
      </c>
      <c r="B735" t="s">
        <v>466</v>
      </c>
      <c r="C735" t="s">
        <v>475</v>
      </c>
      <c r="D735" s="2">
        <v>724386</v>
      </c>
      <c r="E735" t="s">
        <v>13</v>
      </c>
      <c r="F735">
        <v>40.412199999999999</v>
      </c>
      <c r="G735">
        <v>-86.936899999999994</v>
      </c>
      <c r="H735">
        <v>-6</v>
      </c>
      <c r="I735">
        <v>182.6</v>
      </c>
      <c r="J735" t="str">
        <f>HYPERLINK("https://climate.onebuilding.org/WMO_Region_4_North_and_Central_America/USA_United_States_of_America/IN_Indiana/USA_IN_Lafayette-Purdue.Univ.AP.724386_US.Normals.2006-2020.zip")</f>
        <v>https://climate.onebuilding.org/WMO_Region_4_North_and_Central_America/USA_United_States_of_America/IN_Indiana/USA_IN_Lafayette-Purdue.Univ.AP.724386_US.Normals.2006-2020.zip</v>
      </c>
    </row>
    <row r="736" spans="1:10" x14ac:dyDescent="0.25">
      <c r="A736" t="s">
        <v>35</v>
      </c>
      <c r="B736" t="s">
        <v>466</v>
      </c>
      <c r="C736" t="s">
        <v>476</v>
      </c>
      <c r="D736" s="2">
        <v>725336</v>
      </c>
      <c r="E736" t="s">
        <v>13</v>
      </c>
      <c r="F736">
        <v>40.234200000000001</v>
      </c>
      <c r="G736">
        <v>-85.393600000000006</v>
      </c>
      <c r="H736">
        <v>-6</v>
      </c>
      <c r="I736">
        <v>285.60000000000002</v>
      </c>
      <c r="J736" t="str">
        <f>HYPERLINK("https://climate.onebuilding.org/WMO_Region_4_North_and_Central_America/USA_United_States_of_America/IN_Indiana/USA_IN_Muncie-Delaware.County.Rgnl.AP-Johnson.Field.725336_US.Normals.2006-2020.zip")</f>
        <v>https://climate.onebuilding.org/WMO_Region_4_North_and_Central_America/USA_United_States_of_America/IN_Indiana/USA_IN_Muncie-Delaware.County.Rgnl.AP-Johnson.Field.725336_US.Normals.2006-2020.zip</v>
      </c>
    </row>
    <row r="737" spans="1:10" x14ac:dyDescent="0.25">
      <c r="A737" t="s">
        <v>35</v>
      </c>
      <c r="B737" t="s">
        <v>466</v>
      </c>
      <c r="C737" t="s">
        <v>477</v>
      </c>
      <c r="D737" s="2">
        <v>724356</v>
      </c>
      <c r="E737" t="s">
        <v>13</v>
      </c>
      <c r="F737">
        <v>39.578099999999999</v>
      </c>
      <c r="G737">
        <v>-85.803299999999993</v>
      </c>
      <c r="H737">
        <v>-6</v>
      </c>
      <c r="I737">
        <v>245.1</v>
      </c>
      <c r="J737" t="str">
        <f>HYPERLINK("https://climate.onebuilding.org/WMO_Region_4_North_and_Central_America/USA_United_States_of_America/IN_Indiana/USA_IN_Shelbyville.Muni.AP.724356_US.Normals.2006-2020.zip")</f>
        <v>https://climate.onebuilding.org/WMO_Region_4_North_and_Central_America/USA_United_States_of_America/IN_Indiana/USA_IN_Shelbyville.Muni.AP.724356_US.Normals.2006-2020.zip</v>
      </c>
    </row>
    <row r="738" spans="1:10" x14ac:dyDescent="0.25">
      <c r="A738" t="s">
        <v>35</v>
      </c>
      <c r="B738" t="s">
        <v>466</v>
      </c>
      <c r="C738" t="s">
        <v>478</v>
      </c>
      <c r="D738" s="2">
        <v>725350</v>
      </c>
      <c r="E738" t="s">
        <v>13</v>
      </c>
      <c r="F738">
        <v>41.7072</v>
      </c>
      <c r="G738">
        <v>-86.316400000000002</v>
      </c>
      <c r="H738">
        <v>-6</v>
      </c>
      <c r="I738">
        <v>235.6</v>
      </c>
      <c r="J738" t="str">
        <f>HYPERLINK("https://climate.onebuilding.org/WMO_Region_4_North_and_Central_America/USA_United_States_of_America/IN_Indiana/USA_IN_South.Bend.Intl.AP.725350_US.Normals.1981-2010.zip")</f>
        <v>https://climate.onebuilding.org/WMO_Region_4_North_and_Central_America/USA_United_States_of_America/IN_Indiana/USA_IN_South.Bend.Intl.AP.725350_US.Normals.1981-2010.zip</v>
      </c>
    </row>
    <row r="739" spans="1:10" x14ac:dyDescent="0.25">
      <c r="A739" t="s">
        <v>35</v>
      </c>
      <c r="B739" t="s">
        <v>466</v>
      </c>
      <c r="C739" t="s">
        <v>478</v>
      </c>
      <c r="D739" s="2">
        <v>725350</v>
      </c>
      <c r="E739" t="s">
        <v>13</v>
      </c>
      <c r="F739">
        <v>41.7072</v>
      </c>
      <c r="G739">
        <v>-86.316400000000002</v>
      </c>
      <c r="H739">
        <v>-6</v>
      </c>
      <c r="I739">
        <v>235.6</v>
      </c>
      <c r="J739" t="str">
        <f>HYPERLINK("https://climate.onebuilding.org/WMO_Region_4_North_and_Central_America/USA_United_States_of_America/IN_Indiana/USA_IN_South.Bend.Intl.AP.725350_US.Normals.1991-2020.zip")</f>
        <v>https://climate.onebuilding.org/WMO_Region_4_North_and_Central_America/USA_United_States_of_America/IN_Indiana/USA_IN_South.Bend.Intl.AP.725350_US.Normals.1991-2020.zip</v>
      </c>
    </row>
    <row r="740" spans="1:10" x14ac:dyDescent="0.25">
      <c r="A740" t="s">
        <v>35</v>
      </c>
      <c r="B740" t="s">
        <v>466</v>
      </c>
      <c r="C740" t="s">
        <v>478</v>
      </c>
      <c r="D740" s="2">
        <v>725350</v>
      </c>
      <c r="E740" t="s">
        <v>13</v>
      </c>
      <c r="F740">
        <v>41.7072</v>
      </c>
      <c r="G740">
        <v>-86.316400000000002</v>
      </c>
      <c r="H740">
        <v>-6</v>
      </c>
      <c r="I740">
        <v>235.6</v>
      </c>
      <c r="J740" t="str">
        <f>HYPERLINK("https://climate.onebuilding.org/WMO_Region_4_North_and_Central_America/USA_United_States_of_America/IN_Indiana/USA_IN_South.Bend.Intl.AP.725350_US.Normals.2006-2020.zip")</f>
        <v>https://climate.onebuilding.org/WMO_Region_4_North_and_Central_America/USA_United_States_of_America/IN_Indiana/USA_IN_South.Bend.Intl.AP.725350_US.Normals.2006-2020.zip</v>
      </c>
    </row>
    <row r="741" spans="1:10" x14ac:dyDescent="0.25">
      <c r="A741" t="s">
        <v>35</v>
      </c>
      <c r="B741" t="s">
        <v>466</v>
      </c>
      <c r="C741" t="s">
        <v>479</v>
      </c>
      <c r="D741" s="2">
        <v>724373</v>
      </c>
      <c r="E741" t="s">
        <v>13</v>
      </c>
      <c r="F741">
        <v>39.451900000000002</v>
      </c>
      <c r="G741">
        <v>-87.308899999999994</v>
      </c>
      <c r="H741">
        <v>-6</v>
      </c>
      <c r="I741">
        <v>175.3</v>
      </c>
      <c r="J741" t="str">
        <f>HYPERLINK("https://climate.onebuilding.org/WMO_Region_4_North_and_Central_America/USA_United_States_of_America/IN_Indiana/USA_IN_Terre.Haute.Intl.AP-Hulman.Field.ANGB.724373_US.Normals.2006-2020.zip")</f>
        <v>https://climate.onebuilding.org/WMO_Region_4_North_and_Central_America/USA_United_States_of_America/IN_Indiana/USA_IN_Terre.Haute.Intl.AP-Hulman.Field.ANGB.724373_US.Normals.2006-2020.zip</v>
      </c>
    </row>
    <row r="742" spans="1:10" x14ac:dyDescent="0.25">
      <c r="A742" t="s">
        <v>35</v>
      </c>
      <c r="B742" t="s">
        <v>466</v>
      </c>
      <c r="C742" t="s">
        <v>480</v>
      </c>
      <c r="D742" s="2">
        <v>725327</v>
      </c>
      <c r="E742" t="s">
        <v>13</v>
      </c>
      <c r="F742">
        <v>41.452500000000001</v>
      </c>
      <c r="G742">
        <v>-87.005799999999994</v>
      </c>
      <c r="H742">
        <v>-6</v>
      </c>
      <c r="I742">
        <v>234.7</v>
      </c>
      <c r="J742" t="str">
        <f>HYPERLINK("https://climate.onebuilding.org/WMO_Region_4_North_and_Central_America/USA_United_States_of_America/IN_Indiana/USA_IN_Valparaiso-Porter.County.Rgnl.AP.725327_US.Normals.2006-2020.zip")</f>
        <v>https://climate.onebuilding.org/WMO_Region_4_North_and_Central_America/USA_United_States_of_America/IN_Indiana/USA_IN_Valparaiso-Porter.County.Rgnl.AP.725327_US.Normals.2006-2020.zip</v>
      </c>
    </row>
    <row r="743" spans="1:10" x14ac:dyDescent="0.25">
      <c r="A743" t="s">
        <v>35</v>
      </c>
      <c r="B743" t="s">
        <v>481</v>
      </c>
      <c r="C743" t="s">
        <v>482</v>
      </c>
      <c r="D743" s="2">
        <v>724507</v>
      </c>
      <c r="E743" t="s">
        <v>13</v>
      </c>
      <c r="F743">
        <v>37.670299999999997</v>
      </c>
      <c r="G743">
        <v>-95.484200000000001</v>
      </c>
      <c r="H743">
        <v>-6</v>
      </c>
      <c r="I743">
        <v>300.2</v>
      </c>
      <c r="J743" t="str">
        <f>HYPERLINK("https://climate.onebuilding.org/WMO_Region_4_North_and_Central_America/USA_United_States_of_America/KS_Kansas/USA_KS_Chanute.Johnson.AP.724507_US.Normals.2006-2020.zip")</f>
        <v>https://climate.onebuilding.org/WMO_Region_4_North_and_Central_America/USA_United_States_of_America/KS_Kansas/USA_KS_Chanute.Johnson.AP.724507_US.Normals.2006-2020.zip</v>
      </c>
    </row>
    <row r="744" spans="1:10" x14ac:dyDescent="0.25">
      <c r="A744" t="s">
        <v>35</v>
      </c>
      <c r="B744" t="s">
        <v>481</v>
      </c>
      <c r="C744" t="s">
        <v>483</v>
      </c>
      <c r="D744" s="2">
        <v>724519</v>
      </c>
      <c r="E744" t="s">
        <v>13</v>
      </c>
      <c r="F744">
        <v>37.091099999999997</v>
      </c>
      <c r="G744">
        <v>-95.566400000000002</v>
      </c>
      <c r="H744">
        <v>-6</v>
      </c>
      <c r="I744">
        <v>229.2</v>
      </c>
      <c r="J744" t="str">
        <f>HYPERLINK("https://climate.onebuilding.org/WMO_Region_4_North_and_Central_America/USA_United_States_of_America/KS_Kansas/USA_KS_Coffeyville.Muni.AP.724519_US.Normals.2006-2020.zip")</f>
        <v>https://climate.onebuilding.org/WMO_Region_4_North_and_Central_America/USA_United_States_of_America/KS_Kansas/USA_KS_Coffeyville.Muni.AP.724519_US.Normals.2006-2020.zip</v>
      </c>
    </row>
    <row r="745" spans="1:10" x14ac:dyDescent="0.25">
      <c r="A745" t="s">
        <v>35</v>
      </c>
      <c r="B745" t="s">
        <v>481</v>
      </c>
      <c r="C745" t="s">
        <v>484</v>
      </c>
      <c r="D745" s="2">
        <v>724580</v>
      </c>
      <c r="E745" t="s">
        <v>13</v>
      </c>
      <c r="F745">
        <v>39.551400000000001</v>
      </c>
      <c r="G745">
        <v>-97.650800000000004</v>
      </c>
      <c r="H745">
        <v>-7</v>
      </c>
      <c r="I745">
        <v>447.8</v>
      </c>
      <c r="J745" t="str">
        <f>HYPERLINK("https://climate.onebuilding.org/WMO_Region_4_North_and_Central_America/USA_United_States_of_America/KS_Kansas/USA_KS_Concordia-Blosser.Muni.AP.724580_US.Normals.1981-2010.zip")</f>
        <v>https://climate.onebuilding.org/WMO_Region_4_North_and_Central_America/USA_United_States_of_America/KS_Kansas/USA_KS_Concordia-Blosser.Muni.AP.724580_US.Normals.1981-2010.zip</v>
      </c>
    </row>
    <row r="746" spans="1:10" x14ac:dyDescent="0.25">
      <c r="A746" t="s">
        <v>35</v>
      </c>
      <c r="B746" t="s">
        <v>481</v>
      </c>
      <c r="C746" t="s">
        <v>484</v>
      </c>
      <c r="D746" s="2">
        <v>724580</v>
      </c>
      <c r="E746" t="s">
        <v>13</v>
      </c>
      <c r="F746">
        <v>39.551400000000001</v>
      </c>
      <c r="G746">
        <v>-97.650800000000004</v>
      </c>
      <c r="H746">
        <v>-7</v>
      </c>
      <c r="I746">
        <v>447.8</v>
      </c>
      <c r="J746" t="str">
        <f>HYPERLINK("https://climate.onebuilding.org/WMO_Region_4_North_and_Central_America/USA_United_States_of_America/KS_Kansas/USA_KS_Concordia-Blosser.Muni.AP.724580_US.Normals.1991-2020.zip")</f>
        <v>https://climate.onebuilding.org/WMO_Region_4_North_and_Central_America/USA_United_States_of_America/KS_Kansas/USA_KS_Concordia-Blosser.Muni.AP.724580_US.Normals.1991-2020.zip</v>
      </c>
    </row>
    <row r="747" spans="1:10" x14ac:dyDescent="0.25">
      <c r="A747" t="s">
        <v>35</v>
      </c>
      <c r="B747" t="s">
        <v>481</v>
      </c>
      <c r="C747" t="s">
        <v>484</v>
      </c>
      <c r="D747" s="2">
        <v>724580</v>
      </c>
      <c r="E747" t="s">
        <v>13</v>
      </c>
      <c r="F747">
        <v>39.551400000000001</v>
      </c>
      <c r="G747">
        <v>-97.650800000000004</v>
      </c>
      <c r="H747">
        <v>-7</v>
      </c>
      <c r="I747">
        <v>447.8</v>
      </c>
      <c r="J747" t="str">
        <f>HYPERLINK("https://climate.onebuilding.org/WMO_Region_4_North_and_Central_America/USA_United_States_of_America/KS_Kansas/USA_KS_Concordia-Blosser.Muni.AP.724580_US.Normals.2006-2020.zip")</f>
        <v>https://climate.onebuilding.org/WMO_Region_4_North_and_Central_America/USA_United_States_of_America/KS_Kansas/USA_KS_Concordia-Blosser.Muni.AP.724580_US.Normals.2006-2020.zip</v>
      </c>
    </row>
    <row r="748" spans="1:10" x14ac:dyDescent="0.25">
      <c r="A748" t="s">
        <v>35</v>
      </c>
      <c r="B748" t="s">
        <v>481</v>
      </c>
      <c r="C748" t="s">
        <v>485</v>
      </c>
      <c r="D748" s="2">
        <v>724510</v>
      </c>
      <c r="E748" t="s">
        <v>13</v>
      </c>
      <c r="F748">
        <v>37.760800000000003</v>
      </c>
      <c r="G748">
        <v>-99.968299999999999</v>
      </c>
      <c r="H748">
        <v>-7</v>
      </c>
      <c r="I748">
        <v>789.4</v>
      </c>
      <c r="J748" t="str">
        <f>HYPERLINK("https://climate.onebuilding.org/WMO_Region_4_North_and_Central_America/USA_United_States_of_America/KS_Kansas/USA_KS_Dodge.City.Rgnl.AP.724510_US.Normals.1981-2010.zip")</f>
        <v>https://climate.onebuilding.org/WMO_Region_4_North_and_Central_America/USA_United_States_of_America/KS_Kansas/USA_KS_Dodge.City.Rgnl.AP.724510_US.Normals.1981-2010.zip</v>
      </c>
    </row>
    <row r="749" spans="1:10" x14ac:dyDescent="0.25">
      <c r="A749" t="s">
        <v>35</v>
      </c>
      <c r="B749" t="s">
        <v>481</v>
      </c>
      <c r="C749" t="s">
        <v>485</v>
      </c>
      <c r="D749" s="2">
        <v>724510</v>
      </c>
      <c r="E749" t="s">
        <v>13</v>
      </c>
      <c r="F749">
        <v>37.760800000000003</v>
      </c>
      <c r="G749">
        <v>-99.968299999999999</v>
      </c>
      <c r="H749">
        <v>-7</v>
      </c>
      <c r="I749">
        <v>789.4</v>
      </c>
      <c r="J749" t="str">
        <f>HYPERLINK("https://climate.onebuilding.org/WMO_Region_4_North_and_Central_America/USA_United_States_of_America/KS_Kansas/USA_KS_Dodge.City.Rgnl.AP.724510_US.Normals.1991-2020.zip")</f>
        <v>https://climate.onebuilding.org/WMO_Region_4_North_and_Central_America/USA_United_States_of_America/KS_Kansas/USA_KS_Dodge.City.Rgnl.AP.724510_US.Normals.1991-2020.zip</v>
      </c>
    </row>
    <row r="750" spans="1:10" x14ac:dyDescent="0.25">
      <c r="A750" t="s">
        <v>35</v>
      </c>
      <c r="B750" t="s">
        <v>481</v>
      </c>
      <c r="C750" t="s">
        <v>485</v>
      </c>
      <c r="D750" s="2">
        <v>724510</v>
      </c>
      <c r="E750" t="s">
        <v>13</v>
      </c>
      <c r="F750">
        <v>37.760800000000003</v>
      </c>
      <c r="G750">
        <v>-99.968299999999999</v>
      </c>
      <c r="H750">
        <v>-7</v>
      </c>
      <c r="I750">
        <v>789.4</v>
      </c>
      <c r="J750" t="str">
        <f>HYPERLINK("https://climate.onebuilding.org/WMO_Region_4_North_and_Central_America/USA_United_States_of_America/KS_Kansas/USA_KS_Dodge.City.Rgnl.AP.724510_US.Normals.2006-2020.zip")</f>
        <v>https://climate.onebuilding.org/WMO_Region_4_North_and_Central_America/USA_United_States_of_America/KS_Kansas/USA_KS_Dodge.City.Rgnl.AP.724510_US.Normals.2006-2020.zip</v>
      </c>
    </row>
    <row r="751" spans="1:10" x14ac:dyDescent="0.25">
      <c r="A751" t="s">
        <v>35</v>
      </c>
      <c r="B751" t="s">
        <v>481</v>
      </c>
      <c r="C751" t="s">
        <v>486</v>
      </c>
      <c r="D751" s="2">
        <v>724556</v>
      </c>
      <c r="E751" t="s">
        <v>13</v>
      </c>
      <c r="F751">
        <v>38.330599999999997</v>
      </c>
      <c r="G751">
        <v>-96.189700000000002</v>
      </c>
      <c r="H751">
        <v>-6</v>
      </c>
      <c r="I751">
        <v>368.5</v>
      </c>
      <c r="J751" t="str">
        <f>HYPERLINK("https://climate.onebuilding.org/WMO_Region_4_North_and_Central_America/USA_United_States_of_America/KS_Kansas/USA_KS_Emporia.Muni.AP.724556_US.Normals.2006-2020.zip")</f>
        <v>https://climate.onebuilding.org/WMO_Region_4_North_and_Central_America/USA_United_States_of_America/KS_Kansas/USA_KS_Emporia.Muni.AP.724556_US.Normals.2006-2020.zip</v>
      </c>
    </row>
    <row r="752" spans="1:10" x14ac:dyDescent="0.25">
      <c r="A752" t="s">
        <v>35</v>
      </c>
      <c r="B752" t="s">
        <v>481</v>
      </c>
      <c r="C752" t="s">
        <v>487</v>
      </c>
      <c r="D752" s="2">
        <v>724550</v>
      </c>
      <c r="E752" t="s">
        <v>13</v>
      </c>
      <c r="F752">
        <v>39.049999999999997</v>
      </c>
      <c r="G752">
        <v>-96.7667</v>
      </c>
      <c r="H752">
        <v>-6</v>
      </c>
      <c r="I752">
        <v>324.60000000000002</v>
      </c>
      <c r="J752" t="str">
        <f>HYPERLINK("https://climate.onebuilding.org/WMO_Region_4_North_and_Central_America/USA_United_States_of_America/KS_Kansas/USA_KS_Ft.Riley-Marshall.AAF.724550_US.Normals.2006-2020.zip")</f>
        <v>https://climate.onebuilding.org/WMO_Region_4_North_and_Central_America/USA_United_States_of_America/KS_Kansas/USA_KS_Ft.Riley-Marshall.AAF.724550_US.Normals.2006-2020.zip</v>
      </c>
    </row>
    <row r="753" spans="1:10" x14ac:dyDescent="0.25">
      <c r="A753" t="s">
        <v>35</v>
      </c>
      <c r="B753" t="s">
        <v>481</v>
      </c>
      <c r="C753" t="s">
        <v>488</v>
      </c>
      <c r="D753" s="2">
        <v>724515</v>
      </c>
      <c r="E753" t="s">
        <v>13</v>
      </c>
      <c r="F753">
        <v>37.927199999999999</v>
      </c>
      <c r="G753">
        <v>-100.7247</v>
      </c>
      <c r="H753">
        <v>-7</v>
      </c>
      <c r="I753">
        <v>878.4</v>
      </c>
      <c r="J753" t="str">
        <f>HYPERLINK("https://climate.onebuilding.org/WMO_Region_4_North_and_Central_America/USA_United_States_of_America/KS_Kansas/USA_KS_Garden.City.Rgnl.AP.724515_US.Normals.1981-2010.zip")</f>
        <v>https://climate.onebuilding.org/WMO_Region_4_North_and_Central_America/USA_United_States_of_America/KS_Kansas/USA_KS_Garden.City.Rgnl.AP.724515_US.Normals.1981-2010.zip</v>
      </c>
    </row>
    <row r="754" spans="1:10" x14ac:dyDescent="0.25">
      <c r="A754" t="s">
        <v>35</v>
      </c>
      <c r="B754" t="s">
        <v>481</v>
      </c>
      <c r="C754" t="s">
        <v>488</v>
      </c>
      <c r="D754" s="2">
        <v>724515</v>
      </c>
      <c r="E754" t="s">
        <v>13</v>
      </c>
      <c r="F754">
        <v>37.927199999999999</v>
      </c>
      <c r="G754">
        <v>-100.7247</v>
      </c>
      <c r="H754">
        <v>-7</v>
      </c>
      <c r="I754">
        <v>878.4</v>
      </c>
      <c r="J754" t="str">
        <f>HYPERLINK("https://climate.onebuilding.org/WMO_Region_4_North_and_Central_America/USA_United_States_of_America/KS_Kansas/USA_KS_Garden.City.Rgnl.AP.724515_US.Normals.1991-2020.zip")</f>
        <v>https://climate.onebuilding.org/WMO_Region_4_North_and_Central_America/USA_United_States_of_America/KS_Kansas/USA_KS_Garden.City.Rgnl.AP.724515_US.Normals.1991-2020.zip</v>
      </c>
    </row>
    <row r="755" spans="1:10" x14ac:dyDescent="0.25">
      <c r="A755" t="s">
        <v>35</v>
      </c>
      <c r="B755" t="s">
        <v>481</v>
      </c>
      <c r="C755" t="s">
        <v>488</v>
      </c>
      <c r="D755" s="2">
        <v>724515</v>
      </c>
      <c r="E755" t="s">
        <v>13</v>
      </c>
      <c r="F755">
        <v>37.927199999999999</v>
      </c>
      <c r="G755">
        <v>-100.7247</v>
      </c>
      <c r="H755">
        <v>-7</v>
      </c>
      <c r="I755">
        <v>878.4</v>
      </c>
      <c r="J755" t="str">
        <f>HYPERLINK("https://climate.onebuilding.org/WMO_Region_4_North_and_Central_America/USA_United_States_of_America/KS_Kansas/USA_KS_Garden.City.Rgnl.AP.724515_US.Normals.2006-2020.zip")</f>
        <v>https://climate.onebuilding.org/WMO_Region_4_North_and_Central_America/USA_United_States_of_America/KS_Kansas/USA_KS_Garden.City.Rgnl.AP.724515_US.Normals.2006-2020.zip</v>
      </c>
    </row>
    <row r="756" spans="1:10" x14ac:dyDescent="0.25">
      <c r="A756" t="s">
        <v>35</v>
      </c>
      <c r="B756" t="s">
        <v>481</v>
      </c>
      <c r="C756" t="s">
        <v>489</v>
      </c>
      <c r="D756" s="2">
        <v>724650</v>
      </c>
      <c r="E756" t="s">
        <v>13</v>
      </c>
      <c r="F756">
        <v>39.366900000000001</v>
      </c>
      <c r="G756">
        <v>-101.7</v>
      </c>
      <c r="H756">
        <v>-7</v>
      </c>
      <c r="I756">
        <v>1112.8</v>
      </c>
      <c r="J756" t="str">
        <f>HYPERLINK("https://climate.onebuilding.org/WMO_Region_4_North_and_Central_America/USA_United_States_of_America/KS_Kansas/USA_KS_Goodland.Muni.AP-Renner.Field.724650_US.Normals.1991-2020.zip")</f>
        <v>https://climate.onebuilding.org/WMO_Region_4_North_and_Central_America/USA_United_States_of_America/KS_Kansas/USA_KS_Goodland.Muni.AP-Renner.Field.724650_US.Normals.1991-2020.zip</v>
      </c>
    </row>
    <row r="757" spans="1:10" x14ac:dyDescent="0.25">
      <c r="A757" t="s">
        <v>35</v>
      </c>
      <c r="B757" t="s">
        <v>481</v>
      </c>
      <c r="C757" t="s">
        <v>490</v>
      </c>
      <c r="D757" s="2">
        <v>724655</v>
      </c>
      <c r="E757" t="s">
        <v>13</v>
      </c>
      <c r="F757">
        <v>39.375599999999999</v>
      </c>
      <c r="G757">
        <v>-99.829700000000003</v>
      </c>
      <c r="H757">
        <v>-7</v>
      </c>
      <c r="I757">
        <v>666.9</v>
      </c>
      <c r="J757" t="str">
        <f>HYPERLINK("https://climate.onebuilding.org/WMO_Region_4_North_and_Central_America/USA_United_States_of_America/KS_Kansas/USA_KS_Hill.City.Muni.AP.724655_US.Normals.2006-2020.zip")</f>
        <v>https://climate.onebuilding.org/WMO_Region_4_North_and_Central_America/USA_United_States_of_America/KS_Kansas/USA_KS_Hill.City.Muni.AP.724655_US.Normals.2006-2020.zip</v>
      </c>
    </row>
    <row r="758" spans="1:10" x14ac:dyDescent="0.25">
      <c r="A758" t="s">
        <v>35</v>
      </c>
      <c r="B758" t="s">
        <v>481</v>
      </c>
      <c r="C758" t="s">
        <v>491</v>
      </c>
      <c r="D758" s="2">
        <v>724506</v>
      </c>
      <c r="E758" t="s">
        <v>13</v>
      </c>
      <c r="F758">
        <v>38.065300000000001</v>
      </c>
      <c r="G758">
        <v>-97.860600000000005</v>
      </c>
      <c r="H758">
        <v>-7</v>
      </c>
      <c r="I758">
        <v>470.3</v>
      </c>
      <c r="J758" t="str">
        <f>HYPERLINK("https://climate.onebuilding.org/WMO_Region_4_North_and_Central_America/USA_United_States_of_America/KS_Kansas/USA_KS_Hutchinson.Muni.AP.724506_US.Normals.2006-2020.zip")</f>
        <v>https://climate.onebuilding.org/WMO_Region_4_North_and_Central_America/USA_United_States_of_America/KS_Kansas/USA_KS_Hutchinson.Muni.AP.724506_US.Normals.2006-2020.zip</v>
      </c>
    </row>
    <row r="759" spans="1:10" x14ac:dyDescent="0.25">
      <c r="A759" t="s">
        <v>35</v>
      </c>
      <c r="B759" t="s">
        <v>481</v>
      </c>
      <c r="C759" t="s">
        <v>492</v>
      </c>
      <c r="D759" s="2">
        <v>724508</v>
      </c>
      <c r="E759" t="s">
        <v>13</v>
      </c>
      <c r="F759">
        <v>39.008299999999998</v>
      </c>
      <c r="G759">
        <v>-95.211699999999993</v>
      </c>
      <c r="H759">
        <v>-6</v>
      </c>
      <c r="I759">
        <v>253.6</v>
      </c>
      <c r="J759" t="str">
        <f>HYPERLINK("https://climate.onebuilding.org/WMO_Region_4_North_and_Central_America/USA_United_States_of_America/KS_Kansas/USA_KS_Lawrence.Muni.AP.724508_US.Normals.2006-2020.zip")</f>
        <v>https://climate.onebuilding.org/WMO_Region_4_North_and_Central_America/USA_United_States_of_America/KS_Kansas/USA_KS_Lawrence.Muni.AP.724508_US.Normals.2006-2020.zip</v>
      </c>
    </row>
    <row r="760" spans="1:10" x14ac:dyDescent="0.25">
      <c r="A760" t="s">
        <v>35</v>
      </c>
      <c r="B760" t="s">
        <v>481</v>
      </c>
      <c r="C760" t="s">
        <v>493</v>
      </c>
      <c r="D760" s="2">
        <v>724540</v>
      </c>
      <c r="E760" t="s">
        <v>13</v>
      </c>
      <c r="F760">
        <v>39.102800000000002</v>
      </c>
      <c r="G760">
        <v>-96.609700000000004</v>
      </c>
      <c r="H760">
        <v>-6</v>
      </c>
      <c r="I760">
        <v>346.6</v>
      </c>
      <c r="J760" t="str">
        <f>HYPERLINK("https://climate.onebuilding.org/WMO_Region_4_North_and_Central_America/USA_United_States_of_America/KS_Kansas/USA_KS_Manhattan-Konza.Prairie.Biological.Station.724540_US.Normals.2006-2020.zip")</f>
        <v>https://climate.onebuilding.org/WMO_Region_4_North_and_Central_America/USA_United_States_of_America/KS_Kansas/USA_KS_Manhattan-Konza.Prairie.Biological.Station.724540_US.Normals.2006-2020.zip</v>
      </c>
    </row>
    <row r="761" spans="1:10" x14ac:dyDescent="0.25">
      <c r="A761" t="s">
        <v>35</v>
      </c>
      <c r="B761" t="s">
        <v>481</v>
      </c>
      <c r="C761" t="s">
        <v>494</v>
      </c>
      <c r="D761" s="2">
        <v>724555</v>
      </c>
      <c r="E761" t="s">
        <v>13</v>
      </c>
      <c r="F761">
        <v>39.135300000000001</v>
      </c>
      <c r="G761">
        <v>-96.677800000000005</v>
      </c>
      <c r="H761">
        <v>-6</v>
      </c>
      <c r="I761">
        <v>322.2</v>
      </c>
      <c r="J761" t="str">
        <f>HYPERLINK("https://climate.onebuilding.org/WMO_Region_4_North_and_Central_America/USA_United_States_of_America/KS_Kansas/USA_KS_Manhattan.Rgnl.AP.724555_US.Normals.2006-2020.zip")</f>
        <v>https://climate.onebuilding.org/WMO_Region_4_North_and_Central_America/USA_United_States_of_America/KS_Kansas/USA_KS_Manhattan.Rgnl.AP.724555_US.Normals.2006-2020.zip</v>
      </c>
    </row>
    <row r="762" spans="1:10" x14ac:dyDescent="0.25">
      <c r="A762" t="s">
        <v>35</v>
      </c>
      <c r="B762" t="s">
        <v>481</v>
      </c>
      <c r="C762" t="s">
        <v>495</v>
      </c>
      <c r="D762" s="2">
        <v>724520</v>
      </c>
      <c r="E762" t="s">
        <v>13</v>
      </c>
      <c r="F762">
        <v>37.283900000000003</v>
      </c>
      <c r="G762">
        <v>-98.552800000000005</v>
      </c>
      <c r="H762">
        <v>-7</v>
      </c>
      <c r="I762">
        <v>467.9</v>
      </c>
      <c r="J762" t="str">
        <f>HYPERLINK("https://climate.onebuilding.org/WMO_Region_4_North_and_Central_America/USA_United_States_of_America/KS_Kansas/USA_KS_Medicine.Lodge-Barber.State.Fishing.Lake.and.Wildlife.Area.724520_US.Normals.1991-2020.zip")</f>
        <v>https://climate.onebuilding.org/WMO_Region_4_North_and_Central_America/USA_United_States_of_America/KS_Kansas/USA_KS_Medicine.Lodge-Barber.State.Fishing.Lake.and.Wildlife.Area.724520_US.Normals.1991-2020.zip</v>
      </c>
    </row>
    <row r="763" spans="1:10" x14ac:dyDescent="0.25">
      <c r="A763" t="s">
        <v>35</v>
      </c>
      <c r="B763" t="s">
        <v>481</v>
      </c>
      <c r="C763" t="s">
        <v>495</v>
      </c>
      <c r="D763" s="2">
        <v>724520</v>
      </c>
      <c r="E763" t="s">
        <v>13</v>
      </c>
      <c r="F763">
        <v>37.283900000000003</v>
      </c>
      <c r="G763">
        <v>-98.552800000000005</v>
      </c>
      <c r="H763">
        <v>-7</v>
      </c>
      <c r="I763">
        <v>467.9</v>
      </c>
      <c r="J763" t="str">
        <f>HYPERLINK("https://climate.onebuilding.org/WMO_Region_4_North_and_Central_America/USA_United_States_of_America/KS_Kansas/USA_KS_Medicine.Lodge-Barber.State.Fishing.Lake.and.Wildlife.Area.724520_US.Normals.2006-2020.zip")</f>
        <v>https://climate.onebuilding.org/WMO_Region_4_North_and_Central_America/USA_United_States_of_America/KS_Kansas/USA_KS_Medicine.Lodge-Barber.State.Fishing.Lake.and.Wildlife.Area.724520_US.Normals.2006-2020.zip</v>
      </c>
    </row>
    <row r="764" spans="1:10" x14ac:dyDescent="0.25">
      <c r="A764" t="s">
        <v>35</v>
      </c>
      <c r="B764" t="s">
        <v>481</v>
      </c>
      <c r="C764" t="s">
        <v>496</v>
      </c>
      <c r="D764" s="2">
        <v>724570</v>
      </c>
      <c r="E764" t="s">
        <v>13</v>
      </c>
      <c r="F764">
        <v>38.869999999999997</v>
      </c>
      <c r="G764">
        <v>-100.9628</v>
      </c>
      <c r="H764">
        <v>-7</v>
      </c>
      <c r="I764">
        <v>874.8</v>
      </c>
      <c r="J764" t="str">
        <f>HYPERLINK("https://climate.onebuilding.org/WMO_Region_4_North_and_Central_America/USA_United_States_of_America/KS_Kansas/USA_KS_Oakley.19.SSW.724570_US.Normals.2006-2020.zip")</f>
        <v>https://climate.onebuilding.org/WMO_Region_4_North_and_Central_America/USA_United_States_of_America/KS_Kansas/USA_KS_Oakley.19.SSW.724570_US.Normals.2006-2020.zip</v>
      </c>
    </row>
    <row r="765" spans="1:10" x14ac:dyDescent="0.25">
      <c r="A765" t="s">
        <v>35</v>
      </c>
      <c r="B765" t="s">
        <v>481</v>
      </c>
      <c r="C765" t="s">
        <v>497</v>
      </c>
      <c r="D765" s="2">
        <v>724468</v>
      </c>
      <c r="E765" t="s">
        <v>13</v>
      </c>
      <c r="F765">
        <v>38.85</v>
      </c>
      <c r="G765">
        <v>-94.739199999999997</v>
      </c>
      <c r="H765">
        <v>-6</v>
      </c>
      <c r="I765">
        <v>326.10000000000002</v>
      </c>
      <c r="J765" t="str">
        <f>HYPERLINK("https://climate.onebuilding.org/WMO_Region_4_North_and_Central_America/USA_United_States_of_America/KS_Kansas/USA_KS_Olathe-Johnson.County.Exec.AP.724468_US.Normals.2006-2020.zip")</f>
        <v>https://climate.onebuilding.org/WMO_Region_4_North_and_Central_America/USA_United_States_of_America/KS_Kansas/USA_KS_Olathe-Johnson.County.Exec.AP.724468_US.Normals.2006-2020.zip</v>
      </c>
    </row>
    <row r="766" spans="1:10" x14ac:dyDescent="0.25">
      <c r="A766" t="s">
        <v>35</v>
      </c>
      <c r="B766" t="s">
        <v>481</v>
      </c>
      <c r="C766" t="s">
        <v>498</v>
      </c>
      <c r="D766" s="2">
        <v>724475</v>
      </c>
      <c r="E766" t="s">
        <v>13</v>
      </c>
      <c r="F766">
        <v>38.831699999999998</v>
      </c>
      <c r="G766">
        <v>-94.889700000000005</v>
      </c>
      <c r="H766">
        <v>-6</v>
      </c>
      <c r="I766">
        <v>331.3</v>
      </c>
      <c r="J766" t="str">
        <f>HYPERLINK("https://climate.onebuilding.org/WMO_Region_4_North_and_Central_America/USA_United_States_of_America/KS_Kansas/USA_KS_Olathe-New.Century.AirCenter.724475_US.Normals.2006-2020.zip")</f>
        <v>https://climate.onebuilding.org/WMO_Region_4_North_and_Central_America/USA_United_States_of_America/KS_Kansas/USA_KS_Olathe-New.Century.AirCenter.724475_US.Normals.2006-2020.zip</v>
      </c>
    </row>
    <row r="767" spans="1:10" x14ac:dyDescent="0.25">
      <c r="A767" t="s">
        <v>35</v>
      </c>
      <c r="B767" t="s">
        <v>481</v>
      </c>
      <c r="C767" t="s">
        <v>499</v>
      </c>
      <c r="D767" s="2">
        <v>745431</v>
      </c>
      <c r="E767" t="s">
        <v>13</v>
      </c>
      <c r="F767">
        <v>37.327800000000003</v>
      </c>
      <c r="G767">
        <v>-95.504199999999997</v>
      </c>
      <c r="H767">
        <v>-6</v>
      </c>
      <c r="I767">
        <v>264.89999999999998</v>
      </c>
      <c r="J767" t="str">
        <f>HYPERLINK("https://climate.onebuilding.org/WMO_Region_4_North_and_Central_America/USA_United_States_of_America/KS_Kansas/USA_KS_Parsons.Tri-City.AP.745431_US.Normals.2006-2020.zip")</f>
        <v>https://climate.onebuilding.org/WMO_Region_4_North_and_Central_America/USA_United_States_of_America/KS_Kansas/USA_KS_Parsons.Tri-City.AP.745431_US.Normals.2006-2020.zip</v>
      </c>
    </row>
    <row r="768" spans="1:10" x14ac:dyDescent="0.25">
      <c r="A768" t="s">
        <v>35</v>
      </c>
      <c r="B768" t="s">
        <v>481</v>
      </c>
      <c r="C768" t="s">
        <v>500</v>
      </c>
      <c r="D768" s="2">
        <v>724585</v>
      </c>
      <c r="E768" t="s">
        <v>13</v>
      </c>
      <c r="F768">
        <v>38.876100000000001</v>
      </c>
      <c r="G768">
        <v>-98.809200000000004</v>
      </c>
      <c r="H768">
        <v>-7</v>
      </c>
      <c r="I768">
        <v>568.1</v>
      </c>
      <c r="J768" t="str">
        <f>HYPERLINK("https://climate.onebuilding.org/WMO_Region_4_North_and_Central_America/USA_United_States_of_America/KS_Kansas/USA_KS_Russell.Muni.AP.724585_US.Normals.1981-2010.zip")</f>
        <v>https://climate.onebuilding.org/WMO_Region_4_North_and_Central_America/USA_United_States_of_America/KS_Kansas/USA_KS_Russell.Muni.AP.724585_US.Normals.1981-2010.zip</v>
      </c>
    </row>
    <row r="769" spans="1:10" x14ac:dyDescent="0.25">
      <c r="A769" t="s">
        <v>35</v>
      </c>
      <c r="B769" t="s">
        <v>481</v>
      </c>
      <c r="C769" t="s">
        <v>500</v>
      </c>
      <c r="D769" s="2">
        <v>724585</v>
      </c>
      <c r="E769" t="s">
        <v>13</v>
      </c>
      <c r="F769">
        <v>38.876100000000001</v>
      </c>
      <c r="G769">
        <v>-98.809200000000004</v>
      </c>
      <c r="H769">
        <v>-7</v>
      </c>
      <c r="I769">
        <v>568.1</v>
      </c>
      <c r="J769" t="str">
        <f>HYPERLINK("https://climate.onebuilding.org/WMO_Region_4_North_and_Central_America/USA_United_States_of_America/KS_Kansas/USA_KS_Russell.Muni.AP.724585_US.Normals.1991-2020.zip")</f>
        <v>https://climate.onebuilding.org/WMO_Region_4_North_and_Central_America/USA_United_States_of_America/KS_Kansas/USA_KS_Russell.Muni.AP.724585_US.Normals.1991-2020.zip</v>
      </c>
    </row>
    <row r="770" spans="1:10" x14ac:dyDescent="0.25">
      <c r="A770" t="s">
        <v>35</v>
      </c>
      <c r="B770" t="s">
        <v>481</v>
      </c>
      <c r="C770" t="s">
        <v>500</v>
      </c>
      <c r="D770" s="2">
        <v>724585</v>
      </c>
      <c r="E770" t="s">
        <v>13</v>
      </c>
      <c r="F770">
        <v>38.876100000000001</v>
      </c>
      <c r="G770">
        <v>-98.809200000000004</v>
      </c>
      <c r="H770">
        <v>-7</v>
      </c>
      <c r="I770">
        <v>568.1</v>
      </c>
      <c r="J770" t="str">
        <f>HYPERLINK("https://climate.onebuilding.org/WMO_Region_4_North_and_Central_America/USA_United_States_of_America/KS_Kansas/USA_KS_Russell.Muni.AP.724585_US.Normals.2006-2020.zip")</f>
        <v>https://climate.onebuilding.org/WMO_Region_4_North_and_Central_America/USA_United_States_of_America/KS_Kansas/USA_KS_Russell.Muni.AP.724585_US.Normals.2006-2020.zip</v>
      </c>
    </row>
    <row r="771" spans="1:10" x14ac:dyDescent="0.25">
      <c r="A771" t="s">
        <v>35</v>
      </c>
      <c r="B771" t="s">
        <v>481</v>
      </c>
      <c r="C771" t="s">
        <v>501</v>
      </c>
      <c r="D771" s="2">
        <v>724586</v>
      </c>
      <c r="E771" t="s">
        <v>13</v>
      </c>
      <c r="F771">
        <v>38.799999999999997</v>
      </c>
      <c r="G771">
        <v>-97.65</v>
      </c>
      <c r="H771">
        <v>-7</v>
      </c>
      <c r="I771">
        <v>386.8</v>
      </c>
      <c r="J771" t="str">
        <f>HYPERLINK("https://climate.onebuilding.org/WMO_Region_4_North_and_Central_America/USA_United_States_of_America/KS_Kansas/USA_KS_Salina.Rgnl.AP.724586_US.Normals.1981-2010.zip")</f>
        <v>https://climate.onebuilding.org/WMO_Region_4_North_and_Central_America/USA_United_States_of_America/KS_Kansas/USA_KS_Salina.Rgnl.AP.724586_US.Normals.1981-2010.zip</v>
      </c>
    </row>
    <row r="772" spans="1:10" x14ac:dyDescent="0.25">
      <c r="A772" t="s">
        <v>35</v>
      </c>
      <c r="B772" t="s">
        <v>481</v>
      </c>
      <c r="C772" t="s">
        <v>501</v>
      </c>
      <c r="D772" s="2">
        <v>724586</v>
      </c>
      <c r="E772" t="s">
        <v>13</v>
      </c>
      <c r="F772">
        <v>38.799999999999997</v>
      </c>
      <c r="G772">
        <v>-97.65</v>
      </c>
      <c r="H772">
        <v>-7</v>
      </c>
      <c r="I772">
        <v>386.8</v>
      </c>
      <c r="J772" t="str">
        <f>HYPERLINK("https://climate.onebuilding.org/WMO_Region_4_North_and_Central_America/USA_United_States_of_America/KS_Kansas/USA_KS_Salina.Rgnl.AP.724586_US.Normals.1991-2020.zip")</f>
        <v>https://climate.onebuilding.org/WMO_Region_4_North_and_Central_America/USA_United_States_of_America/KS_Kansas/USA_KS_Salina.Rgnl.AP.724586_US.Normals.1991-2020.zip</v>
      </c>
    </row>
    <row r="773" spans="1:10" x14ac:dyDescent="0.25">
      <c r="A773" t="s">
        <v>35</v>
      </c>
      <c r="B773" t="s">
        <v>481</v>
      </c>
      <c r="C773" t="s">
        <v>501</v>
      </c>
      <c r="D773" s="2">
        <v>724586</v>
      </c>
      <c r="E773" t="s">
        <v>13</v>
      </c>
      <c r="F773">
        <v>38.799999999999997</v>
      </c>
      <c r="G773">
        <v>-97.65</v>
      </c>
      <c r="H773">
        <v>-7</v>
      </c>
      <c r="I773">
        <v>386.8</v>
      </c>
      <c r="J773" t="str">
        <f>HYPERLINK("https://climate.onebuilding.org/WMO_Region_4_North_and_Central_America/USA_United_States_of_America/KS_Kansas/USA_KS_Salina.Rgnl.AP.724586_US.Normals.2006-2020.zip")</f>
        <v>https://climate.onebuilding.org/WMO_Region_4_North_and_Central_America/USA_United_States_of_America/KS_Kansas/USA_KS_Salina.Rgnl.AP.724586_US.Normals.2006-2020.zip</v>
      </c>
    </row>
    <row r="774" spans="1:10" x14ac:dyDescent="0.25">
      <c r="A774" t="s">
        <v>35</v>
      </c>
      <c r="B774" t="s">
        <v>481</v>
      </c>
      <c r="C774" t="s">
        <v>502</v>
      </c>
      <c r="D774" s="2">
        <v>724560</v>
      </c>
      <c r="E774" t="s">
        <v>13</v>
      </c>
      <c r="F774">
        <v>39.072499999999998</v>
      </c>
      <c r="G774">
        <v>-95.626099999999994</v>
      </c>
      <c r="H774">
        <v>-6</v>
      </c>
      <c r="I774">
        <v>267</v>
      </c>
      <c r="J774" t="str">
        <f>HYPERLINK("https://climate.onebuilding.org/WMO_Region_4_North_and_Central_America/USA_United_States_of_America/KS_Kansas/USA_KS_Topeka-Billard.Muni.AP.724560_US.Normals.1981-2010.zip")</f>
        <v>https://climate.onebuilding.org/WMO_Region_4_North_and_Central_America/USA_United_States_of_America/KS_Kansas/USA_KS_Topeka-Billard.Muni.AP.724560_US.Normals.1981-2010.zip</v>
      </c>
    </row>
    <row r="775" spans="1:10" x14ac:dyDescent="0.25">
      <c r="A775" t="s">
        <v>35</v>
      </c>
      <c r="B775" t="s">
        <v>481</v>
      </c>
      <c r="C775" t="s">
        <v>502</v>
      </c>
      <c r="D775" s="2">
        <v>724560</v>
      </c>
      <c r="E775" t="s">
        <v>13</v>
      </c>
      <c r="F775">
        <v>39.072499999999998</v>
      </c>
      <c r="G775">
        <v>-95.626099999999994</v>
      </c>
      <c r="H775">
        <v>-6</v>
      </c>
      <c r="I775">
        <v>267</v>
      </c>
      <c r="J775" t="str">
        <f>HYPERLINK("https://climate.onebuilding.org/WMO_Region_4_North_and_Central_America/USA_United_States_of_America/KS_Kansas/USA_KS_Topeka-Billard.Muni.AP.724560_US.Normals.1991-2020.zip")</f>
        <v>https://climate.onebuilding.org/WMO_Region_4_North_and_Central_America/USA_United_States_of_America/KS_Kansas/USA_KS_Topeka-Billard.Muni.AP.724560_US.Normals.1991-2020.zip</v>
      </c>
    </row>
    <row r="776" spans="1:10" x14ac:dyDescent="0.25">
      <c r="A776" t="s">
        <v>35</v>
      </c>
      <c r="B776" t="s">
        <v>481</v>
      </c>
      <c r="C776" t="s">
        <v>502</v>
      </c>
      <c r="D776" s="2">
        <v>724560</v>
      </c>
      <c r="E776" t="s">
        <v>13</v>
      </c>
      <c r="F776">
        <v>39.072499999999998</v>
      </c>
      <c r="G776">
        <v>-95.626099999999994</v>
      </c>
      <c r="H776">
        <v>-6</v>
      </c>
      <c r="I776">
        <v>267</v>
      </c>
      <c r="J776" t="str">
        <f>HYPERLINK("https://climate.onebuilding.org/WMO_Region_4_North_and_Central_America/USA_United_States_of_America/KS_Kansas/USA_KS_Topeka-Billard.Muni.AP.724560_US.Normals.2006-2020.zip")</f>
        <v>https://climate.onebuilding.org/WMO_Region_4_North_and_Central_America/USA_United_States_of_America/KS_Kansas/USA_KS_Topeka-Billard.Muni.AP.724560_US.Normals.2006-2020.zip</v>
      </c>
    </row>
    <row r="777" spans="1:10" x14ac:dyDescent="0.25">
      <c r="A777" t="s">
        <v>35</v>
      </c>
      <c r="B777" t="s">
        <v>481</v>
      </c>
      <c r="C777" t="s">
        <v>503</v>
      </c>
      <c r="D777" s="2">
        <v>724565</v>
      </c>
      <c r="E777" t="s">
        <v>13</v>
      </c>
      <c r="F777">
        <v>38.950299999999999</v>
      </c>
      <c r="G777">
        <v>-95.663899999999998</v>
      </c>
      <c r="H777">
        <v>-6</v>
      </c>
      <c r="I777">
        <v>325.2</v>
      </c>
      <c r="J777" t="str">
        <f>HYPERLINK("https://climate.onebuilding.org/WMO_Region_4_North_and_Central_America/USA_United_States_of_America/KS_Kansas/USA_KS_Topeka.Rgnl.AP-Forbes.ANGB.724565_US.Normals.1991-2020.zip")</f>
        <v>https://climate.onebuilding.org/WMO_Region_4_North_and_Central_America/USA_United_States_of_America/KS_Kansas/USA_KS_Topeka.Rgnl.AP-Forbes.ANGB.724565_US.Normals.1991-2020.zip</v>
      </c>
    </row>
    <row r="778" spans="1:10" x14ac:dyDescent="0.25">
      <c r="A778" t="s">
        <v>35</v>
      </c>
      <c r="B778" t="s">
        <v>481</v>
      </c>
      <c r="C778" t="s">
        <v>503</v>
      </c>
      <c r="D778" s="2">
        <v>724565</v>
      </c>
      <c r="E778" t="s">
        <v>13</v>
      </c>
      <c r="F778">
        <v>38.950299999999999</v>
      </c>
      <c r="G778">
        <v>-95.663899999999998</v>
      </c>
      <c r="H778">
        <v>-6</v>
      </c>
      <c r="I778">
        <v>325.2</v>
      </c>
      <c r="J778" t="str">
        <f>HYPERLINK("https://climate.onebuilding.org/WMO_Region_4_North_and_Central_America/USA_United_States_of_America/KS_Kansas/USA_KS_Topeka.Rgnl.AP-Forbes.ANGB.724565_US.Normals.2006-2020.zip")</f>
        <v>https://climate.onebuilding.org/WMO_Region_4_North_and_Central_America/USA_United_States_of_America/KS_Kansas/USA_KS_Topeka.Rgnl.AP-Forbes.ANGB.724565_US.Normals.2006-2020.zip</v>
      </c>
    </row>
    <row r="779" spans="1:10" x14ac:dyDescent="0.25">
      <c r="A779" t="s">
        <v>35</v>
      </c>
      <c r="B779" t="s">
        <v>481</v>
      </c>
      <c r="C779" t="s">
        <v>504</v>
      </c>
      <c r="D779" s="2">
        <v>724504</v>
      </c>
      <c r="E779" t="s">
        <v>13</v>
      </c>
      <c r="F779">
        <v>37.746099999999998</v>
      </c>
      <c r="G779">
        <v>-97.221100000000007</v>
      </c>
      <c r="H779">
        <v>-6</v>
      </c>
      <c r="I779">
        <v>433.1</v>
      </c>
      <c r="J779" t="str">
        <f>HYPERLINK("https://climate.onebuilding.org/WMO_Region_4_North_and_Central_America/USA_United_States_of_America/KS_Kansas/USA_KS_Wichita-Jabara.AP.724504_US.Normals.2006-2020.zip")</f>
        <v>https://climate.onebuilding.org/WMO_Region_4_North_and_Central_America/USA_United_States_of_America/KS_Kansas/USA_KS_Wichita-Jabara.AP.724504_US.Normals.2006-2020.zip</v>
      </c>
    </row>
    <row r="780" spans="1:10" x14ac:dyDescent="0.25">
      <c r="A780" t="s">
        <v>35</v>
      </c>
      <c r="B780" t="s">
        <v>481</v>
      </c>
      <c r="C780" t="s">
        <v>505</v>
      </c>
      <c r="D780" s="2">
        <v>724505</v>
      </c>
      <c r="E780" t="s">
        <v>13</v>
      </c>
      <c r="F780">
        <v>37.616700000000002</v>
      </c>
      <c r="G780">
        <v>-97.2667</v>
      </c>
      <c r="H780">
        <v>-6</v>
      </c>
      <c r="I780">
        <v>413.9</v>
      </c>
      <c r="J780" t="str">
        <f>HYPERLINK("https://climate.onebuilding.org/WMO_Region_4_North_and_Central_America/USA_United_States_of_America/KS_Kansas/USA_KS_Wichita-McConnell.AFB.724505_US.Normals.1981-2010.zip")</f>
        <v>https://climate.onebuilding.org/WMO_Region_4_North_and_Central_America/USA_United_States_of_America/KS_Kansas/USA_KS_Wichita-McConnell.AFB.724505_US.Normals.1981-2010.zip</v>
      </c>
    </row>
    <row r="781" spans="1:10" x14ac:dyDescent="0.25">
      <c r="A781" t="s">
        <v>35</v>
      </c>
      <c r="B781" t="s">
        <v>481</v>
      </c>
      <c r="C781" t="s">
        <v>505</v>
      </c>
      <c r="D781" s="2">
        <v>724505</v>
      </c>
      <c r="E781" t="s">
        <v>13</v>
      </c>
      <c r="F781">
        <v>37.616700000000002</v>
      </c>
      <c r="G781">
        <v>-97.2667</v>
      </c>
      <c r="H781">
        <v>-6</v>
      </c>
      <c r="I781">
        <v>413.9</v>
      </c>
      <c r="J781" t="str">
        <f>HYPERLINK("https://climate.onebuilding.org/WMO_Region_4_North_and_Central_America/USA_United_States_of_America/KS_Kansas/USA_KS_Wichita-McConnell.AFB.724505_US.Normals.1991-2020.zip")</f>
        <v>https://climate.onebuilding.org/WMO_Region_4_North_and_Central_America/USA_United_States_of_America/KS_Kansas/USA_KS_Wichita-McConnell.AFB.724505_US.Normals.1991-2020.zip</v>
      </c>
    </row>
    <row r="782" spans="1:10" x14ac:dyDescent="0.25">
      <c r="A782" t="s">
        <v>35</v>
      </c>
      <c r="B782" t="s">
        <v>481</v>
      </c>
      <c r="C782" t="s">
        <v>505</v>
      </c>
      <c r="D782" s="2">
        <v>724505</v>
      </c>
      <c r="E782" t="s">
        <v>13</v>
      </c>
      <c r="F782">
        <v>37.616700000000002</v>
      </c>
      <c r="G782">
        <v>-97.2667</v>
      </c>
      <c r="H782">
        <v>-6</v>
      </c>
      <c r="I782">
        <v>413.9</v>
      </c>
      <c r="J782" t="str">
        <f>HYPERLINK("https://climate.onebuilding.org/WMO_Region_4_North_and_Central_America/USA_United_States_of_America/KS_Kansas/USA_KS_Wichita-McConnell.AFB.724505_US.Normals.2006-2020.zip")</f>
        <v>https://climate.onebuilding.org/WMO_Region_4_North_and_Central_America/USA_United_States_of_America/KS_Kansas/USA_KS_Wichita-McConnell.AFB.724505_US.Normals.2006-2020.zip</v>
      </c>
    </row>
    <row r="783" spans="1:10" x14ac:dyDescent="0.25">
      <c r="A783" t="s">
        <v>35</v>
      </c>
      <c r="B783" t="s">
        <v>481</v>
      </c>
      <c r="C783" t="s">
        <v>506</v>
      </c>
      <c r="D783" s="2">
        <v>724500</v>
      </c>
      <c r="E783" t="s">
        <v>13</v>
      </c>
      <c r="F783">
        <v>37.654400000000003</v>
      </c>
      <c r="G783">
        <v>-97.442499999999995</v>
      </c>
      <c r="H783">
        <v>-6</v>
      </c>
      <c r="I783">
        <v>406.9</v>
      </c>
      <c r="J783" t="str">
        <f>HYPERLINK("https://climate.onebuilding.org/WMO_Region_4_North_and_Central_America/USA_United_States_of_America/KS_Kansas/USA_KS_Wichita.Eisenhower.Natl.AP.724500_US.Normals.1981-2010.zip")</f>
        <v>https://climate.onebuilding.org/WMO_Region_4_North_and_Central_America/USA_United_States_of_America/KS_Kansas/USA_KS_Wichita.Eisenhower.Natl.AP.724500_US.Normals.1981-2010.zip</v>
      </c>
    </row>
    <row r="784" spans="1:10" x14ac:dyDescent="0.25">
      <c r="A784" t="s">
        <v>35</v>
      </c>
      <c r="B784" t="s">
        <v>481</v>
      </c>
      <c r="C784" t="s">
        <v>506</v>
      </c>
      <c r="D784" s="2">
        <v>724500</v>
      </c>
      <c r="E784" t="s">
        <v>13</v>
      </c>
      <c r="F784">
        <v>37.654400000000003</v>
      </c>
      <c r="G784">
        <v>-97.442499999999995</v>
      </c>
      <c r="H784">
        <v>-6</v>
      </c>
      <c r="I784">
        <v>406.9</v>
      </c>
      <c r="J784" t="str">
        <f>HYPERLINK("https://climate.onebuilding.org/WMO_Region_4_North_and_Central_America/USA_United_States_of_America/KS_Kansas/USA_KS_Wichita.Eisenhower.Natl.AP.724500_US.Normals.1991-2020.zip")</f>
        <v>https://climate.onebuilding.org/WMO_Region_4_North_and_Central_America/USA_United_States_of_America/KS_Kansas/USA_KS_Wichita.Eisenhower.Natl.AP.724500_US.Normals.1991-2020.zip</v>
      </c>
    </row>
    <row r="785" spans="1:10" x14ac:dyDescent="0.25">
      <c r="A785" t="s">
        <v>35</v>
      </c>
      <c r="B785" t="s">
        <v>481</v>
      </c>
      <c r="C785" t="s">
        <v>506</v>
      </c>
      <c r="D785" s="2">
        <v>724500</v>
      </c>
      <c r="E785" t="s">
        <v>13</v>
      </c>
      <c r="F785">
        <v>37.654400000000003</v>
      </c>
      <c r="G785">
        <v>-97.442499999999995</v>
      </c>
      <c r="H785">
        <v>-6</v>
      </c>
      <c r="I785">
        <v>406.9</v>
      </c>
      <c r="J785" t="str">
        <f>HYPERLINK("https://climate.onebuilding.org/WMO_Region_4_North_and_Central_America/USA_United_States_of_America/KS_Kansas/USA_KS_Wichita.Eisenhower.Natl.AP.724500_US.Normals.2006-2020.zip")</f>
        <v>https://climate.onebuilding.org/WMO_Region_4_North_and_Central_America/USA_United_States_of_America/KS_Kansas/USA_KS_Wichita.Eisenhower.Natl.AP.724500_US.Normals.2006-2020.zip</v>
      </c>
    </row>
    <row r="786" spans="1:10" x14ac:dyDescent="0.25">
      <c r="A786" t="s">
        <v>35</v>
      </c>
      <c r="B786" t="s">
        <v>481</v>
      </c>
      <c r="C786" t="s">
        <v>507</v>
      </c>
      <c r="D786" s="2">
        <v>724502</v>
      </c>
      <c r="E786" t="s">
        <v>13</v>
      </c>
      <c r="F786">
        <v>37.168100000000003</v>
      </c>
      <c r="G786">
        <v>-97.036900000000003</v>
      </c>
      <c r="H786">
        <v>-6</v>
      </c>
      <c r="I786">
        <v>350.5</v>
      </c>
      <c r="J786" t="str">
        <f>HYPERLINK("https://climate.onebuilding.org/WMO_Region_4_North_and_Central_America/USA_United_States_of_America/KS_Kansas/USA_KS_Winfield-Strother.Field.AP.724502_US.Normals.2006-2020.zip")</f>
        <v>https://climate.onebuilding.org/WMO_Region_4_North_and_Central_America/USA_United_States_of_America/KS_Kansas/USA_KS_Winfield-Strother.Field.AP.724502_US.Normals.2006-2020.zip</v>
      </c>
    </row>
    <row r="787" spans="1:10" x14ac:dyDescent="0.25">
      <c r="A787" t="s">
        <v>35</v>
      </c>
      <c r="B787" t="s">
        <v>508</v>
      </c>
      <c r="C787" t="s">
        <v>509</v>
      </c>
      <c r="D787" s="2">
        <v>724130</v>
      </c>
      <c r="E787" t="s">
        <v>13</v>
      </c>
      <c r="F787">
        <v>37.250300000000003</v>
      </c>
      <c r="G787">
        <v>-86.232500000000002</v>
      </c>
      <c r="H787">
        <v>-6</v>
      </c>
      <c r="I787">
        <v>240.8</v>
      </c>
      <c r="J787" t="str">
        <f>HYPERLINK("https://climate.onebuilding.org/WMO_Region_4_North_and_Central_America/USA_United_States_of_America/KY_Kentucky/USA_KY_Bowling.Green-Mammoth.Cave.Natl.Park.724130_US.Normals.2006-2020.zip")</f>
        <v>https://climate.onebuilding.org/WMO_Region_4_North_and_Central_America/USA_United_States_of_America/KY_Kentucky/USA_KY_Bowling.Green-Mammoth.Cave.Natl.Park.724130_US.Normals.2006-2020.zip</v>
      </c>
    </row>
    <row r="788" spans="1:10" x14ac:dyDescent="0.25">
      <c r="A788" t="s">
        <v>35</v>
      </c>
      <c r="B788" t="s">
        <v>508</v>
      </c>
      <c r="C788" t="s">
        <v>510</v>
      </c>
      <c r="D788" s="2">
        <v>746716</v>
      </c>
      <c r="E788" t="s">
        <v>13</v>
      </c>
      <c r="F788">
        <v>36.964700000000001</v>
      </c>
      <c r="G788">
        <v>-86.423900000000003</v>
      </c>
      <c r="H788">
        <v>-6</v>
      </c>
      <c r="I788">
        <v>160.9</v>
      </c>
      <c r="J788" t="str">
        <f>HYPERLINK("https://climate.onebuilding.org/WMO_Region_4_North_and_Central_America/USA_United_States_of_America/KY_Kentucky/USA_KY_Bowling.Green-Warren.County.Rgnl.AP.746716_US.Normals.1981-2010.zip")</f>
        <v>https://climate.onebuilding.org/WMO_Region_4_North_and_Central_America/USA_United_States_of_America/KY_Kentucky/USA_KY_Bowling.Green-Warren.County.Rgnl.AP.746716_US.Normals.1981-2010.zip</v>
      </c>
    </row>
    <row r="789" spans="1:10" x14ac:dyDescent="0.25">
      <c r="A789" t="s">
        <v>35</v>
      </c>
      <c r="B789" t="s">
        <v>508</v>
      </c>
      <c r="C789" t="s">
        <v>510</v>
      </c>
      <c r="D789" s="2">
        <v>746716</v>
      </c>
      <c r="E789" t="s">
        <v>13</v>
      </c>
      <c r="F789">
        <v>36.964700000000001</v>
      </c>
      <c r="G789">
        <v>-86.423900000000003</v>
      </c>
      <c r="H789">
        <v>-6</v>
      </c>
      <c r="I789">
        <v>160.9</v>
      </c>
      <c r="J789" t="str">
        <f>HYPERLINK("https://climate.onebuilding.org/WMO_Region_4_North_and_Central_America/USA_United_States_of_America/KY_Kentucky/USA_KY_Bowling.Green-Warren.County.Rgnl.AP.746716_US.Normals.1991-2020.zip")</f>
        <v>https://climate.onebuilding.org/WMO_Region_4_North_and_Central_America/USA_United_States_of_America/KY_Kentucky/USA_KY_Bowling.Green-Warren.County.Rgnl.AP.746716_US.Normals.1991-2020.zip</v>
      </c>
    </row>
    <row r="790" spans="1:10" x14ac:dyDescent="0.25">
      <c r="A790" t="s">
        <v>35</v>
      </c>
      <c r="B790" t="s">
        <v>508</v>
      </c>
      <c r="C790" t="s">
        <v>510</v>
      </c>
      <c r="D790" s="2">
        <v>746716</v>
      </c>
      <c r="E790" t="s">
        <v>13</v>
      </c>
      <c r="F790">
        <v>36.964700000000001</v>
      </c>
      <c r="G790">
        <v>-86.423900000000003</v>
      </c>
      <c r="H790">
        <v>-6</v>
      </c>
      <c r="I790">
        <v>160.9</v>
      </c>
      <c r="J790" t="str">
        <f>HYPERLINK("https://climate.onebuilding.org/WMO_Region_4_North_and_Central_America/USA_United_States_of_America/KY_Kentucky/USA_KY_Bowling.Green-Warren.County.Rgnl.AP.746716_US.Normals.2006-2020.zip")</f>
        <v>https://climate.onebuilding.org/WMO_Region_4_North_and_Central_America/USA_United_States_of_America/KY_Kentucky/USA_KY_Bowling.Green-Warren.County.Rgnl.AP.746716_US.Normals.2006-2020.zip</v>
      </c>
    </row>
    <row r="791" spans="1:10" x14ac:dyDescent="0.25">
      <c r="A791" t="s">
        <v>35</v>
      </c>
      <c r="B791" t="s">
        <v>508</v>
      </c>
      <c r="C791" t="s">
        <v>511</v>
      </c>
      <c r="D791" s="2">
        <v>724210</v>
      </c>
      <c r="E791" t="s">
        <v>13</v>
      </c>
      <c r="F791">
        <v>39.043100000000003</v>
      </c>
      <c r="G791">
        <v>-84.671700000000001</v>
      </c>
      <c r="H791">
        <v>-6</v>
      </c>
      <c r="I791">
        <v>264.89999999999998</v>
      </c>
      <c r="J791" t="str">
        <f>HYPERLINK("https://climate.onebuilding.org/WMO_Region_4_North_and_Central_America/USA_United_States_of_America/KY_Kentucky/USA_KY_Cincinnati-Northern.Kentucky.Intl.AP.724210_US.Normals.1981-2010.zip")</f>
        <v>https://climate.onebuilding.org/WMO_Region_4_North_and_Central_America/USA_United_States_of_America/KY_Kentucky/USA_KY_Cincinnati-Northern.Kentucky.Intl.AP.724210_US.Normals.1981-2010.zip</v>
      </c>
    </row>
    <row r="792" spans="1:10" x14ac:dyDescent="0.25">
      <c r="A792" t="s">
        <v>35</v>
      </c>
      <c r="B792" t="s">
        <v>508</v>
      </c>
      <c r="C792" t="s">
        <v>511</v>
      </c>
      <c r="D792" s="2">
        <v>724210</v>
      </c>
      <c r="E792" t="s">
        <v>13</v>
      </c>
      <c r="F792">
        <v>39.043100000000003</v>
      </c>
      <c r="G792">
        <v>-84.671700000000001</v>
      </c>
      <c r="H792">
        <v>-6</v>
      </c>
      <c r="I792">
        <v>264.89999999999998</v>
      </c>
      <c r="J792" t="str">
        <f>HYPERLINK("https://climate.onebuilding.org/WMO_Region_4_North_and_Central_America/USA_United_States_of_America/KY_Kentucky/USA_KY_Cincinnati-Northern.Kentucky.Intl.AP.724210_US.Normals.1991-2020.zip")</f>
        <v>https://climate.onebuilding.org/WMO_Region_4_North_and_Central_America/USA_United_States_of_America/KY_Kentucky/USA_KY_Cincinnati-Northern.Kentucky.Intl.AP.724210_US.Normals.1991-2020.zip</v>
      </c>
    </row>
    <row r="793" spans="1:10" x14ac:dyDescent="0.25">
      <c r="A793" t="s">
        <v>35</v>
      </c>
      <c r="B793" t="s">
        <v>508</v>
      </c>
      <c r="C793" t="s">
        <v>511</v>
      </c>
      <c r="D793" s="2">
        <v>724210</v>
      </c>
      <c r="E793" t="s">
        <v>13</v>
      </c>
      <c r="F793">
        <v>39.043100000000003</v>
      </c>
      <c r="G793">
        <v>-84.671700000000001</v>
      </c>
      <c r="H793">
        <v>-6</v>
      </c>
      <c r="I793">
        <v>264.89999999999998</v>
      </c>
      <c r="J793" t="str">
        <f>HYPERLINK("https://climate.onebuilding.org/WMO_Region_4_North_and_Central_America/USA_United_States_of_America/KY_Kentucky/USA_KY_Cincinnati-Northern.Kentucky.Intl.AP.724210_US.Normals.2006-2020.zip")</f>
        <v>https://climate.onebuilding.org/WMO_Region_4_North_and_Central_America/USA_United_States_of_America/KY_Kentucky/USA_KY_Cincinnati-Northern.Kentucky.Intl.AP.724210_US.Normals.2006-2020.zip</v>
      </c>
    </row>
    <row r="794" spans="1:10" x14ac:dyDescent="0.25">
      <c r="A794" t="s">
        <v>35</v>
      </c>
      <c r="B794" t="s">
        <v>508</v>
      </c>
      <c r="C794" t="s">
        <v>512</v>
      </c>
      <c r="D794" s="2">
        <v>746710</v>
      </c>
      <c r="E794" t="s">
        <v>13</v>
      </c>
      <c r="F794">
        <v>36.666699999999999</v>
      </c>
      <c r="G794">
        <v>-87.4833</v>
      </c>
      <c r="H794">
        <v>-6</v>
      </c>
      <c r="I794">
        <v>173.1</v>
      </c>
      <c r="J794" t="str">
        <f>HYPERLINK("https://climate.onebuilding.org/WMO_Region_4_North_and_Central_America/USA_United_States_of_America/KY_Kentucky/USA_KY_Fort.Campbell-Campbell.AAF.746710_US.Normals.1981-2010.zip")</f>
        <v>https://climate.onebuilding.org/WMO_Region_4_North_and_Central_America/USA_United_States_of_America/KY_Kentucky/USA_KY_Fort.Campbell-Campbell.AAF.746710_US.Normals.1981-2010.zip</v>
      </c>
    </row>
    <row r="795" spans="1:10" x14ac:dyDescent="0.25">
      <c r="A795" t="s">
        <v>35</v>
      </c>
      <c r="B795" t="s">
        <v>508</v>
      </c>
      <c r="C795" t="s">
        <v>512</v>
      </c>
      <c r="D795" s="2">
        <v>746710</v>
      </c>
      <c r="E795" t="s">
        <v>13</v>
      </c>
      <c r="F795">
        <v>36.666699999999999</v>
      </c>
      <c r="G795">
        <v>-87.4833</v>
      </c>
      <c r="H795">
        <v>-6</v>
      </c>
      <c r="I795">
        <v>173.1</v>
      </c>
      <c r="J795" t="str">
        <f>HYPERLINK("https://climate.onebuilding.org/WMO_Region_4_North_and_Central_America/USA_United_States_of_America/KY_Kentucky/USA_KY_Fort.Campbell-Campbell.AAF.746710_US.Normals.1991-2020.zip")</f>
        <v>https://climate.onebuilding.org/WMO_Region_4_North_and_Central_America/USA_United_States_of_America/KY_Kentucky/USA_KY_Fort.Campbell-Campbell.AAF.746710_US.Normals.1991-2020.zip</v>
      </c>
    </row>
    <row r="796" spans="1:10" x14ac:dyDescent="0.25">
      <c r="A796" t="s">
        <v>35</v>
      </c>
      <c r="B796" t="s">
        <v>508</v>
      </c>
      <c r="C796" t="s">
        <v>512</v>
      </c>
      <c r="D796" s="2">
        <v>746710</v>
      </c>
      <c r="E796" t="s">
        <v>13</v>
      </c>
      <c r="F796">
        <v>36.666699999999999</v>
      </c>
      <c r="G796">
        <v>-87.4833</v>
      </c>
      <c r="H796">
        <v>-6</v>
      </c>
      <c r="I796">
        <v>173.1</v>
      </c>
      <c r="J796" t="str">
        <f>HYPERLINK("https://climate.onebuilding.org/WMO_Region_4_North_and_Central_America/USA_United_States_of_America/KY_Kentucky/USA_KY_Fort.Campbell-Campbell.AAF.746710_US.Normals.2006-2020.zip")</f>
        <v>https://climate.onebuilding.org/WMO_Region_4_North_and_Central_America/USA_United_States_of_America/KY_Kentucky/USA_KY_Fort.Campbell-Campbell.AAF.746710_US.Normals.2006-2020.zip</v>
      </c>
    </row>
    <row r="797" spans="1:10" x14ac:dyDescent="0.25">
      <c r="A797" t="s">
        <v>35</v>
      </c>
      <c r="B797" t="s">
        <v>508</v>
      </c>
      <c r="C797" t="s">
        <v>513</v>
      </c>
      <c r="D797" s="2">
        <v>724240</v>
      </c>
      <c r="E797" t="s">
        <v>13</v>
      </c>
      <c r="F797">
        <v>37.9</v>
      </c>
      <c r="G797">
        <v>-85.966700000000003</v>
      </c>
      <c r="H797">
        <v>-6</v>
      </c>
      <c r="I797">
        <v>224</v>
      </c>
      <c r="J797" t="str">
        <f>HYPERLINK("https://climate.onebuilding.org/WMO_Region_4_North_and_Central_America/USA_United_States_of_America/KY_Kentucky/USA_KY_Fort.Knox-Godman.AAF.724240_US.Normals.1981-2010.zip")</f>
        <v>https://climate.onebuilding.org/WMO_Region_4_North_and_Central_America/USA_United_States_of_America/KY_Kentucky/USA_KY_Fort.Knox-Godman.AAF.724240_US.Normals.1981-2010.zip</v>
      </c>
    </row>
    <row r="798" spans="1:10" x14ac:dyDescent="0.25">
      <c r="A798" t="s">
        <v>35</v>
      </c>
      <c r="B798" t="s">
        <v>508</v>
      </c>
      <c r="C798" t="s">
        <v>513</v>
      </c>
      <c r="D798" s="2">
        <v>724240</v>
      </c>
      <c r="E798" t="s">
        <v>13</v>
      </c>
      <c r="F798">
        <v>37.9</v>
      </c>
      <c r="G798">
        <v>-85.966700000000003</v>
      </c>
      <c r="H798">
        <v>-6</v>
      </c>
      <c r="I798">
        <v>224</v>
      </c>
      <c r="J798" t="str">
        <f>HYPERLINK("https://climate.onebuilding.org/WMO_Region_4_North_and_Central_America/USA_United_States_of_America/KY_Kentucky/USA_KY_Fort.Knox-Godman.AAF.724240_US.Normals.1991-2020.zip")</f>
        <v>https://climate.onebuilding.org/WMO_Region_4_North_and_Central_America/USA_United_States_of_America/KY_Kentucky/USA_KY_Fort.Knox-Godman.AAF.724240_US.Normals.1991-2020.zip</v>
      </c>
    </row>
    <row r="799" spans="1:10" x14ac:dyDescent="0.25">
      <c r="A799" t="s">
        <v>35</v>
      </c>
      <c r="B799" t="s">
        <v>508</v>
      </c>
      <c r="C799" t="s">
        <v>513</v>
      </c>
      <c r="D799" s="2">
        <v>724240</v>
      </c>
      <c r="E799" t="s">
        <v>13</v>
      </c>
      <c r="F799">
        <v>37.9</v>
      </c>
      <c r="G799">
        <v>-85.966700000000003</v>
      </c>
      <c r="H799">
        <v>-6</v>
      </c>
      <c r="I799">
        <v>224</v>
      </c>
      <c r="J799" t="str">
        <f>HYPERLINK("https://climate.onebuilding.org/WMO_Region_4_North_and_Central_America/USA_United_States_of_America/KY_Kentucky/USA_KY_Fort.Knox-Godman.AAF.724240_US.Normals.2006-2020.zip")</f>
        <v>https://climate.onebuilding.org/WMO_Region_4_North_and_Central_America/USA_United_States_of_America/KY_Kentucky/USA_KY_Fort.Knox-Godman.AAF.724240_US.Normals.2006-2020.zip</v>
      </c>
    </row>
    <row r="800" spans="1:10" x14ac:dyDescent="0.25">
      <c r="A800" t="s">
        <v>35</v>
      </c>
      <c r="B800" t="s">
        <v>508</v>
      </c>
      <c r="C800" t="s">
        <v>514</v>
      </c>
      <c r="D800" s="2">
        <v>724233</v>
      </c>
      <c r="E800" t="s">
        <v>13</v>
      </c>
      <c r="F800">
        <v>38.184699999999999</v>
      </c>
      <c r="G800">
        <v>-84.903300000000002</v>
      </c>
      <c r="H800">
        <v>-6</v>
      </c>
      <c r="I800">
        <v>245.1</v>
      </c>
      <c r="J800" t="str">
        <f>HYPERLINK("https://climate.onebuilding.org/WMO_Region_4_North_and_Central_America/USA_United_States_of_America/KY_Kentucky/USA_KY_Frankfort-Capital.City.AP.724233_US.Normals.2006-2020.zip")</f>
        <v>https://climate.onebuilding.org/WMO_Region_4_North_and_Central_America/USA_United_States_of_America/KY_Kentucky/USA_KY_Frankfort-Capital.City.AP.724233_US.Normals.2006-2020.zip</v>
      </c>
    </row>
    <row r="801" spans="1:10" x14ac:dyDescent="0.25">
      <c r="A801" t="s">
        <v>35</v>
      </c>
      <c r="B801" t="s">
        <v>508</v>
      </c>
      <c r="C801" t="s">
        <v>515</v>
      </c>
      <c r="D801" s="2">
        <v>724220</v>
      </c>
      <c r="E801" t="s">
        <v>13</v>
      </c>
      <c r="F801">
        <v>38.040799999999997</v>
      </c>
      <c r="G801">
        <v>-84.605800000000002</v>
      </c>
      <c r="H801">
        <v>-6</v>
      </c>
      <c r="I801">
        <v>298.7</v>
      </c>
      <c r="J801" t="str">
        <f>HYPERLINK("https://climate.onebuilding.org/WMO_Region_4_North_and_Central_America/USA_United_States_of_America/KY_Kentucky/USA_KY_Lexington-Blue.Grass.AP.724220_US.Normals.1981-2010.zip")</f>
        <v>https://climate.onebuilding.org/WMO_Region_4_North_and_Central_America/USA_United_States_of_America/KY_Kentucky/USA_KY_Lexington-Blue.Grass.AP.724220_US.Normals.1981-2010.zip</v>
      </c>
    </row>
    <row r="802" spans="1:10" x14ac:dyDescent="0.25">
      <c r="A802" t="s">
        <v>35</v>
      </c>
      <c r="B802" t="s">
        <v>508</v>
      </c>
      <c r="C802" t="s">
        <v>515</v>
      </c>
      <c r="D802" s="2">
        <v>724220</v>
      </c>
      <c r="E802" t="s">
        <v>13</v>
      </c>
      <c r="F802">
        <v>38.040799999999997</v>
      </c>
      <c r="G802">
        <v>-84.605800000000002</v>
      </c>
      <c r="H802">
        <v>-6</v>
      </c>
      <c r="I802">
        <v>298.7</v>
      </c>
      <c r="J802" t="str">
        <f>HYPERLINK("https://climate.onebuilding.org/WMO_Region_4_North_and_Central_America/USA_United_States_of_America/KY_Kentucky/USA_KY_Lexington-Blue.Grass.AP.724220_US.Normals.1991-2020.zip")</f>
        <v>https://climate.onebuilding.org/WMO_Region_4_North_and_Central_America/USA_United_States_of_America/KY_Kentucky/USA_KY_Lexington-Blue.Grass.AP.724220_US.Normals.1991-2020.zip</v>
      </c>
    </row>
    <row r="803" spans="1:10" x14ac:dyDescent="0.25">
      <c r="A803" t="s">
        <v>35</v>
      </c>
      <c r="B803" t="s">
        <v>508</v>
      </c>
      <c r="C803" t="s">
        <v>515</v>
      </c>
      <c r="D803" s="2">
        <v>724220</v>
      </c>
      <c r="E803" t="s">
        <v>13</v>
      </c>
      <c r="F803">
        <v>38.040799999999997</v>
      </c>
      <c r="G803">
        <v>-84.605800000000002</v>
      </c>
      <c r="H803">
        <v>-6</v>
      </c>
      <c r="I803">
        <v>298.7</v>
      </c>
      <c r="J803" t="str">
        <f>HYPERLINK("https://climate.onebuilding.org/WMO_Region_4_North_and_Central_America/USA_United_States_of_America/KY_Kentucky/USA_KY_Lexington-Blue.Grass.AP.724220_US.Normals.2006-2020.zip")</f>
        <v>https://climate.onebuilding.org/WMO_Region_4_North_and_Central_America/USA_United_States_of_America/KY_Kentucky/USA_KY_Lexington-Blue.Grass.AP.724220_US.Normals.2006-2020.zip</v>
      </c>
    </row>
    <row r="804" spans="1:10" x14ac:dyDescent="0.25">
      <c r="A804" t="s">
        <v>35</v>
      </c>
      <c r="B804" t="s">
        <v>508</v>
      </c>
      <c r="C804" t="s">
        <v>516</v>
      </c>
      <c r="D804" s="2">
        <v>724243</v>
      </c>
      <c r="E804" t="s">
        <v>13</v>
      </c>
      <c r="F804">
        <v>37.087200000000003</v>
      </c>
      <c r="G804">
        <v>-84.076899999999995</v>
      </c>
      <c r="H804">
        <v>-6</v>
      </c>
      <c r="I804">
        <v>362.1</v>
      </c>
      <c r="J804" t="str">
        <f>HYPERLINK("https://climate.onebuilding.org/WMO_Region_4_North_and_Central_America/USA_United_States_of_America/KY_Kentucky/USA_KY_London-Corbin.AP-Magee.Field.724243_US.Normals.2006-2020.zip")</f>
        <v>https://climate.onebuilding.org/WMO_Region_4_North_and_Central_America/USA_United_States_of_America/KY_Kentucky/USA_KY_London-Corbin.AP-Magee.Field.724243_US.Normals.2006-2020.zip</v>
      </c>
    </row>
    <row r="805" spans="1:10" x14ac:dyDescent="0.25">
      <c r="A805" t="s">
        <v>35</v>
      </c>
      <c r="B805" t="s">
        <v>508</v>
      </c>
      <c r="C805" t="s">
        <v>517</v>
      </c>
      <c r="D805" s="2">
        <v>724235</v>
      </c>
      <c r="E805" t="s">
        <v>13</v>
      </c>
      <c r="F805">
        <v>38.228099999999998</v>
      </c>
      <c r="G805">
        <v>-85.663600000000002</v>
      </c>
      <c r="H805">
        <v>-6</v>
      </c>
      <c r="I805">
        <v>164.6</v>
      </c>
      <c r="J805" t="str">
        <f>HYPERLINK("https://climate.onebuilding.org/WMO_Region_4_North_and_Central_America/USA_United_States_of_America/KY_Kentucky/USA_KY_Louisville-Bowman.Field.AP.724235_US.Normals.1981-2010.zip")</f>
        <v>https://climate.onebuilding.org/WMO_Region_4_North_and_Central_America/USA_United_States_of_America/KY_Kentucky/USA_KY_Louisville-Bowman.Field.AP.724235_US.Normals.1981-2010.zip</v>
      </c>
    </row>
    <row r="806" spans="1:10" x14ac:dyDescent="0.25">
      <c r="A806" t="s">
        <v>35</v>
      </c>
      <c r="B806" t="s">
        <v>508</v>
      </c>
      <c r="C806" t="s">
        <v>517</v>
      </c>
      <c r="D806" s="2">
        <v>724235</v>
      </c>
      <c r="E806" t="s">
        <v>13</v>
      </c>
      <c r="F806">
        <v>38.228099999999998</v>
      </c>
      <c r="G806">
        <v>-85.663600000000002</v>
      </c>
      <c r="H806">
        <v>-6</v>
      </c>
      <c r="I806">
        <v>164.6</v>
      </c>
      <c r="J806" t="str">
        <f>HYPERLINK("https://climate.onebuilding.org/WMO_Region_4_North_and_Central_America/USA_United_States_of_America/KY_Kentucky/USA_KY_Louisville-Bowman.Field.AP.724235_US.Normals.1991-2020.zip")</f>
        <v>https://climate.onebuilding.org/WMO_Region_4_North_and_Central_America/USA_United_States_of_America/KY_Kentucky/USA_KY_Louisville-Bowman.Field.AP.724235_US.Normals.1991-2020.zip</v>
      </c>
    </row>
    <row r="807" spans="1:10" x14ac:dyDescent="0.25">
      <c r="A807" t="s">
        <v>35</v>
      </c>
      <c r="B807" t="s">
        <v>508</v>
      </c>
      <c r="C807" t="s">
        <v>517</v>
      </c>
      <c r="D807" s="2">
        <v>724235</v>
      </c>
      <c r="E807" t="s">
        <v>13</v>
      </c>
      <c r="F807">
        <v>38.228099999999998</v>
      </c>
      <c r="G807">
        <v>-85.663600000000002</v>
      </c>
      <c r="H807">
        <v>-6</v>
      </c>
      <c r="I807">
        <v>164.6</v>
      </c>
      <c r="J807" t="str">
        <f>HYPERLINK("https://climate.onebuilding.org/WMO_Region_4_North_and_Central_America/USA_United_States_of_America/KY_Kentucky/USA_KY_Louisville-Bowman.Field.AP.724235_US.Normals.2006-2020.zip")</f>
        <v>https://climate.onebuilding.org/WMO_Region_4_North_and_Central_America/USA_United_States_of_America/KY_Kentucky/USA_KY_Louisville-Bowman.Field.AP.724235_US.Normals.2006-2020.zip</v>
      </c>
    </row>
    <row r="808" spans="1:10" x14ac:dyDescent="0.25">
      <c r="A808" t="s">
        <v>35</v>
      </c>
      <c r="B808" t="s">
        <v>508</v>
      </c>
      <c r="C808" t="s">
        <v>518</v>
      </c>
      <c r="D808" s="2">
        <v>724230</v>
      </c>
      <c r="E808" t="s">
        <v>13</v>
      </c>
      <c r="F808">
        <v>38.181100000000001</v>
      </c>
      <c r="G808">
        <v>-85.739199999999997</v>
      </c>
      <c r="H808">
        <v>-6</v>
      </c>
      <c r="I808">
        <v>148.69999999999999</v>
      </c>
      <c r="J808" t="str">
        <f>HYPERLINK("https://climate.onebuilding.org/WMO_Region_4_North_and_Central_America/USA_United_States_of_America/KY_Kentucky/USA_KY_Louisville.Intl.AP.724230_US.Normals.1981-2010.zip")</f>
        <v>https://climate.onebuilding.org/WMO_Region_4_North_and_Central_America/USA_United_States_of_America/KY_Kentucky/USA_KY_Louisville.Intl.AP.724230_US.Normals.1981-2010.zip</v>
      </c>
    </row>
    <row r="809" spans="1:10" x14ac:dyDescent="0.25">
      <c r="A809" t="s">
        <v>35</v>
      </c>
      <c r="B809" t="s">
        <v>508</v>
      </c>
      <c r="C809" t="s">
        <v>518</v>
      </c>
      <c r="D809" s="2">
        <v>724230</v>
      </c>
      <c r="E809" t="s">
        <v>13</v>
      </c>
      <c r="F809">
        <v>38.181100000000001</v>
      </c>
      <c r="G809">
        <v>-85.739199999999997</v>
      </c>
      <c r="H809">
        <v>-6</v>
      </c>
      <c r="I809">
        <v>148.69999999999999</v>
      </c>
      <c r="J809" t="str">
        <f>HYPERLINK("https://climate.onebuilding.org/WMO_Region_4_North_and_Central_America/USA_United_States_of_America/KY_Kentucky/USA_KY_Louisville.Intl.AP.724230_US.Normals.1991-2020.zip")</f>
        <v>https://climate.onebuilding.org/WMO_Region_4_North_and_Central_America/USA_United_States_of_America/KY_Kentucky/USA_KY_Louisville.Intl.AP.724230_US.Normals.1991-2020.zip</v>
      </c>
    </row>
    <row r="810" spans="1:10" x14ac:dyDescent="0.25">
      <c r="A810" t="s">
        <v>35</v>
      </c>
      <c r="B810" t="s">
        <v>508</v>
      </c>
      <c r="C810" t="s">
        <v>518</v>
      </c>
      <c r="D810" s="2">
        <v>724230</v>
      </c>
      <c r="E810" t="s">
        <v>13</v>
      </c>
      <c r="F810">
        <v>38.181100000000001</v>
      </c>
      <c r="G810">
        <v>-85.739199999999997</v>
      </c>
      <c r="H810">
        <v>-6</v>
      </c>
      <c r="I810">
        <v>148.69999999999999</v>
      </c>
      <c r="J810" t="str">
        <f>HYPERLINK("https://climate.onebuilding.org/WMO_Region_4_North_and_Central_America/USA_United_States_of_America/KY_Kentucky/USA_KY_Louisville.Intl.AP.724230_US.Normals.2006-2020.zip")</f>
        <v>https://climate.onebuilding.org/WMO_Region_4_North_and_Central_America/USA_United_States_of_America/KY_Kentucky/USA_KY_Louisville.Intl.AP.724230_US.Normals.2006-2020.zip</v>
      </c>
    </row>
    <row r="811" spans="1:10" x14ac:dyDescent="0.25">
      <c r="A811" t="s">
        <v>35</v>
      </c>
      <c r="B811" t="s">
        <v>508</v>
      </c>
      <c r="C811" t="s">
        <v>519</v>
      </c>
      <c r="D811" s="2">
        <v>724350</v>
      </c>
      <c r="E811" t="s">
        <v>13</v>
      </c>
      <c r="F811">
        <v>37.068300000000001</v>
      </c>
      <c r="G811">
        <v>-88.771900000000002</v>
      </c>
      <c r="H811">
        <v>-6</v>
      </c>
      <c r="I811">
        <v>119.5</v>
      </c>
      <c r="J811" t="str">
        <f>HYPERLINK("https://climate.onebuilding.org/WMO_Region_4_North_and_Central_America/USA_United_States_of_America/KY_Kentucky/USA_KY_Paducah-Barkley.Rgnl.AP.724350_US.Normals.1981-2010.zip")</f>
        <v>https://climate.onebuilding.org/WMO_Region_4_North_and_Central_America/USA_United_States_of_America/KY_Kentucky/USA_KY_Paducah-Barkley.Rgnl.AP.724350_US.Normals.1981-2010.zip</v>
      </c>
    </row>
    <row r="812" spans="1:10" x14ac:dyDescent="0.25">
      <c r="A812" t="s">
        <v>35</v>
      </c>
      <c r="B812" t="s">
        <v>508</v>
      </c>
      <c r="C812" t="s">
        <v>519</v>
      </c>
      <c r="D812" s="2">
        <v>724350</v>
      </c>
      <c r="E812" t="s">
        <v>13</v>
      </c>
      <c r="F812">
        <v>37.068300000000001</v>
      </c>
      <c r="G812">
        <v>-88.771900000000002</v>
      </c>
      <c r="H812">
        <v>-6</v>
      </c>
      <c r="I812">
        <v>119.5</v>
      </c>
      <c r="J812" t="str">
        <f>HYPERLINK("https://climate.onebuilding.org/WMO_Region_4_North_and_Central_America/USA_United_States_of_America/KY_Kentucky/USA_KY_Paducah-Barkley.Rgnl.AP.724350_US.Normals.1991-2020.zip")</f>
        <v>https://climate.onebuilding.org/WMO_Region_4_North_and_Central_America/USA_United_States_of_America/KY_Kentucky/USA_KY_Paducah-Barkley.Rgnl.AP.724350_US.Normals.1991-2020.zip</v>
      </c>
    </row>
    <row r="813" spans="1:10" x14ac:dyDescent="0.25">
      <c r="A813" t="s">
        <v>35</v>
      </c>
      <c r="B813" t="s">
        <v>508</v>
      </c>
      <c r="C813" t="s">
        <v>519</v>
      </c>
      <c r="D813" s="2">
        <v>724350</v>
      </c>
      <c r="E813" t="s">
        <v>13</v>
      </c>
      <c r="F813">
        <v>37.068300000000001</v>
      </c>
      <c r="G813">
        <v>-88.771900000000002</v>
      </c>
      <c r="H813">
        <v>-6</v>
      </c>
      <c r="I813">
        <v>119.5</v>
      </c>
      <c r="J813" t="str">
        <f>HYPERLINK("https://climate.onebuilding.org/WMO_Region_4_North_and_Central_America/USA_United_States_of_America/KY_Kentucky/USA_KY_Paducah-Barkley.Rgnl.AP.724350_US.Normals.2006-2020.zip")</f>
        <v>https://climate.onebuilding.org/WMO_Region_4_North_and_Central_America/USA_United_States_of_America/KY_Kentucky/USA_KY_Paducah-Barkley.Rgnl.AP.724350_US.Normals.2006-2020.zip</v>
      </c>
    </row>
    <row r="814" spans="1:10" x14ac:dyDescent="0.25">
      <c r="A814" t="s">
        <v>35</v>
      </c>
      <c r="B814" t="s">
        <v>508</v>
      </c>
      <c r="C814" t="s">
        <v>520</v>
      </c>
      <c r="D814" s="2">
        <v>724300</v>
      </c>
      <c r="E814" t="s">
        <v>13</v>
      </c>
      <c r="F814">
        <v>38.0944</v>
      </c>
      <c r="G814">
        <v>-84.746399999999994</v>
      </c>
      <c r="H814">
        <v>-6</v>
      </c>
      <c r="I814">
        <v>271.60000000000002</v>
      </c>
      <c r="J814" t="str">
        <f>HYPERLINK("https://climate.onebuilding.org/WMO_Region_4_North_and_Central_America/USA_United_States_of_America/KY_Kentucky/USA_KY_Versailles-Univ.Kentucky-Woodford.County.Site.724300_US.Normals.2006-2020.zip")</f>
        <v>https://climate.onebuilding.org/WMO_Region_4_North_and_Central_America/USA_United_States_of_America/KY_Kentucky/USA_KY_Versailles-Univ.Kentucky-Woodford.County.Site.724300_US.Normals.2006-2020.zip</v>
      </c>
    </row>
    <row r="815" spans="1:10" x14ac:dyDescent="0.25">
      <c r="A815" t="s">
        <v>35</v>
      </c>
      <c r="B815" t="s">
        <v>521</v>
      </c>
      <c r="C815" t="s">
        <v>522</v>
      </c>
      <c r="D815" s="2">
        <v>722487</v>
      </c>
      <c r="E815" t="s">
        <v>13</v>
      </c>
      <c r="F815">
        <v>31.392800000000001</v>
      </c>
      <c r="G815">
        <v>-92.295599999999993</v>
      </c>
      <c r="H815">
        <v>-6</v>
      </c>
      <c r="I815">
        <v>34.1</v>
      </c>
      <c r="J815" t="str">
        <f>HYPERLINK("https://climate.onebuilding.org/WMO_Region_4_North_and_Central_America/USA_United_States_of_America/LA_Louisiana/USA_LA_Alexandria-Esler.Rgnl.AP.722487_US.Normals.2006-2020.zip")</f>
        <v>https://climate.onebuilding.org/WMO_Region_4_North_and_Central_America/USA_United_States_of_America/LA_Louisiana/USA_LA_Alexandria-Esler.Rgnl.AP.722487_US.Normals.2006-2020.zip</v>
      </c>
    </row>
    <row r="816" spans="1:10" x14ac:dyDescent="0.25">
      <c r="A816" t="s">
        <v>35</v>
      </c>
      <c r="B816" t="s">
        <v>521</v>
      </c>
      <c r="C816" t="s">
        <v>523</v>
      </c>
      <c r="D816" s="2">
        <v>747540</v>
      </c>
      <c r="E816" t="s">
        <v>13</v>
      </c>
      <c r="F816">
        <v>31.334700000000002</v>
      </c>
      <c r="G816">
        <v>-92.558599999999998</v>
      </c>
      <c r="H816">
        <v>-6</v>
      </c>
      <c r="I816">
        <v>25.6</v>
      </c>
      <c r="J816" t="str">
        <f>HYPERLINK("https://climate.onebuilding.org/WMO_Region_4_North_and_Central_America/USA_United_States_of_America/LA_Louisiana/USA_LA_Alexandria.Intl.AP.747540_US.Normals.2006-2020.zip")</f>
        <v>https://climate.onebuilding.org/WMO_Region_4_North_and_Central_America/USA_United_States_of_America/LA_Louisiana/USA_LA_Alexandria.Intl.AP.747540_US.Normals.2006-2020.zip</v>
      </c>
    </row>
    <row r="817" spans="1:10" x14ac:dyDescent="0.25">
      <c r="A817" t="s">
        <v>35</v>
      </c>
      <c r="B817" t="s">
        <v>521</v>
      </c>
      <c r="C817" t="s">
        <v>524</v>
      </c>
      <c r="D817" s="2">
        <v>722320</v>
      </c>
      <c r="E817" t="s">
        <v>13</v>
      </c>
      <c r="F817">
        <v>29.333100000000002</v>
      </c>
      <c r="G817">
        <v>-89.407499999999999</v>
      </c>
      <c r="H817">
        <v>-6</v>
      </c>
      <c r="I817">
        <v>0.9</v>
      </c>
      <c r="J817" t="str">
        <f>HYPERLINK("https://climate.onebuilding.org/WMO_Region_4_North_and_Central_America/USA_United_States_of_America/LA_Louisiana/USA_LA_Boothville.722320_US.Normals.2006-2020.zip")</f>
        <v>https://climate.onebuilding.org/WMO_Region_4_North_and_Central_America/USA_United_States_of_America/LA_Louisiana/USA_LA_Boothville.722320_US.Normals.2006-2020.zip</v>
      </c>
    </row>
    <row r="818" spans="1:10" x14ac:dyDescent="0.25">
      <c r="A818" t="s">
        <v>35</v>
      </c>
      <c r="B818" t="s">
        <v>521</v>
      </c>
      <c r="C818" t="s">
        <v>525</v>
      </c>
      <c r="D818" s="2">
        <v>722820</v>
      </c>
      <c r="E818" t="s">
        <v>13</v>
      </c>
      <c r="F818">
        <v>31.4</v>
      </c>
      <c r="G818">
        <v>-93.283299999999997</v>
      </c>
      <c r="H818">
        <v>-6</v>
      </c>
      <c r="I818">
        <v>111.3</v>
      </c>
      <c r="J818" t="str">
        <f>HYPERLINK("https://climate.onebuilding.org/WMO_Region_4_North_and_Central_America/USA_United_States_of_America/LA_Louisiana/USA_LA_Ft.Polk-Peason.Ridge.Range.722820_US.Normals.2006-2020.zip")</f>
        <v>https://climate.onebuilding.org/WMO_Region_4_North_and_Central_America/USA_United_States_of_America/LA_Louisiana/USA_LA_Ft.Polk-Peason.Ridge.Range.722820_US.Normals.2006-2020.zip</v>
      </c>
    </row>
    <row r="819" spans="1:10" x14ac:dyDescent="0.25">
      <c r="A819" t="s">
        <v>35</v>
      </c>
      <c r="B819" t="s">
        <v>521</v>
      </c>
      <c r="C819" t="s">
        <v>526</v>
      </c>
      <c r="D819" s="2">
        <v>722390</v>
      </c>
      <c r="E819" t="s">
        <v>13</v>
      </c>
      <c r="F819">
        <v>31.05</v>
      </c>
      <c r="G819">
        <v>-93.183300000000003</v>
      </c>
      <c r="H819">
        <v>-6</v>
      </c>
      <c r="I819">
        <v>100.6</v>
      </c>
      <c r="J819" t="str">
        <f>HYPERLINK("https://climate.onebuilding.org/WMO_Region_4_North_and_Central_America/USA_United_States_of_America/LA_Louisiana/USA_LA_Ft.Polk-Polk.AAF.722390_US.Normals.1981-2010.zip")</f>
        <v>https://climate.onebuilding.org/WMO_Region_4_North_and_Central_America/USA_United_States_of_America/LA_Louisiana/USA_LA_Ft.Polk-Polk.AAF.722390_US.Normals.1981-2010.zip</v>
      </c>
    </row>
    <row r="820" spans="1:10" x14ac:dyDescent="0.25">
      <c r="A820" t="s">
        <v>35</v>
      </c>
      <c r="B820" t="s">
        <v>521</v>
      </c>
      <c r="C820" t="s">
        <v>526</v>
      </c>
      <c r="D820" s="2">
        <v>722390</v>
      </c>
      <c r="E820" t="s">
        <v>13</v>
      </c>
      <c r="F820">
        <v>31.05</v>
      </c>
      <c r="G820">
        <v>-93.183300000000003</v>
      </c>
      <c r="H820">
        <v>-6</v>
      </c>
      <c r="I820">
        <v>100.6</v>
      </c>
      <c r="J820" t="str">
        <f>HYPERLINK("https://climate.onebuilding.org/WMO_Region_4_North_and_Central_America/USA_United_States_of_America/LA_Louisiana/USA_LA_Ft.Polk-Polk.AAF.722390_US.Normals.1991-2020.zip")</f>
        <v>https://climate.onebuilding.org/WMO_Region_4_North_and_Central_America/USA_United_States_of_America/LA_Louisiana/USA_LA_Ft.Polk-Polk.AAF.722390_US.Normals.1991-2020.zip</v>
      </c>
    </row>
    <row r="821" spans="1:10" x14ac:dyDescent="0.25">
      <c r="A821" t="s">
        <v>35</v>
      </c>
      <c r="B821" t="s">
        <v>521</v>
      </c>
      <c r="C821" t="s">
        <v>526</v>
      </c>
      <c r="D821" s="2">
        <v>722390</v>
      </c>
      <c r="E821" t="s">
        <v>13</v>
      </c>
      <c r="F821">
        <v>31.05</v>
      </c>
      <c r="G821">
        <v>-93.183300000000003</v>
      </c>
      <c r="H821">
        <v>-6</v>
      </c>
      <c r="I821">
        <v>100.6</v>
      </c>
      <c r="J821" t="str">
        <f>HYPERLINK("https://climate.onebuilding.org/WMO_Region_4_North_and_Central_America/USA_United_States_of_America/LA_Louisiana/USA_LA_Ft.Polk-Polk.AAF.722390_US.Normals.2006-2020.zip")</f>
        <v>https://climate.onebuilding.org/WMO_Region_4_North_and_Central_America/USA_United_States_of_America/LA_Louisiana/USA_LA_Ft.Polk-Polk.AAF.722390_US.Normals.2006-2020.zip</v>
      </c>
    </row>
    <row r="822" spans="1:10" x14ac:dyDescent="0.25">
      <c r="A822" t="s">
        <v>35</v>
      </c>
      <c r="B822" t="s">
        <v>521</v>
      </c>
      <c r="C822" t="s">
        <v>527</v>
      </c>
      <c r="D822" s="2">
        <v>722405</v>
      </c>
      <c r="E822" t="s">
        <v>13</v>
      </c>
      <c r="F822">
        <v>30.204999999999998</v>
      </c>
      <c r="G822">
        <v>-91.987499999999997</v>
      </c>
      <c r="H822">
        <v>-6</v>
      </c>
      <c r="I822">
        <v>11.6</v>
      </c>
      <c r="J822" t="str">
        <f>HYPERLINK("https://climate.onebuilding.org/WMO_Region_4_North_and_Central_America/USA_United_States_of_America/LA_Louisiana/USA_LA_Lafayette.Rgnl.AP.722405_US.Normals.1981-2010.zip")</f>
        <v>https://climate.onebuilding.org/WMO_Region_4_North_and_Central_America/USA_United_States_of_America/LA_Louisiana/USA_LA_Lafayette.Rgnl.AP.722405_US.Normals.1981-2010.zip</v>
      </c>
    </row>
    <row r="823" spans="1:10" x14ac:dyDescent="0.25">
      <c r="A823" t="s">
        <v>35</v>
      </c>
      <c r="B823" t="s">
        <v>521</v>
      </c>
      <c r="C823" t="s">
        <v>527</v>
      </c>
      <c r="D823" s="2">
        <v>722405</v>
      </c>
      <c r="E823" t="s">
        <v>13</v>
      </c>
      <c r="F823">
        <v>30.204999999999998</v>
      </c>
      <c r="G823">
        <v>-91.987499999999997</v>
      </c>
      <c r="H823">
        <v>-6</v>
      </c>
      <c r="I823">
        <v>11.6</v>
      </c>
      <c r="J823" t="str">
        <f>HYPERLINK("https://climate.onebuilding.org/WMO_Region_4_North_and_Central_America/USA_United_States_of_America/LA_Louisiana/USA_LA_Lafayette.Rgnl.AP.722405_US.Normals.1991-2020.zip")</f>
        <v>https://climate.onebuilding.org/WMO_Region_4_North_and_Central_America/USA_United_States_of_America/LA_Louisiana/USA_LA_Lafayette.Rgnl.AP.722405_US.Normals.1991-2020.zip</v>
      </c>
    </row>
    <row r="824" spans="1:10" x14ac:dyDescent="0.25">
      <c r="A824" t="s">
        <v>35</v>
      </c>
      <c r="B824" t="s">
        <v>521</v>
      </c>
      <c r="C824" t="s">
        <v>527</v>
      </c>
      <c r="D824" s="2">
        <v>722405</v>
      </c>
      <c r="E824" t="s">
        <v>13</v>
      </c>
      <c r="F824">
        <v>30.204999999999998</v>
      </c>
      <c r="G824">
        <v>-91.987499999999997</v>
      </c>
      <c r="H824">
        <v>-6</v>
      </c>
      <c r="I824">
        <v>11.6</v>
      </c>
      <c r="J824" t="str">
        <f>HYPERLINK("https://climate.onebuilding.org/WMO_Region_4_North_and_Central_America/USA_United_States_of_America/LA_Louisiana/USA_LA_Lafayette.Rgnl.AP.722405_US.Normals.2006-2020.zip")</f>
        <v>https://climate.onebuilding.org/WMO_Region_4_North_and_Central_America/USA_United_States_of_America/LA_Louisiana/USA_LA_Lafayette.Rgnl.AP.722405_US.Normals.2006-2020.zip</v>
      </c>
    </row>
    <row r="825" spans="1:10" x14ac:dyDescent="0.25">
      <c r="A825" t="s">
        <v>35</v>
      </c>
      <c r="B825" t="s">
        <v>521</v>
      </c>
      <c r="C825" t="s">
        <v>528</v>
      </c>
      <c r="D825" s="2">
        <v>722400</v>
      </c>
      <c r="E825" t="s">
        <v>13</v>
      </c>
      <c r="F825">
        <v>30.125</v>
      </c>
      <c r="G825">
        <v>-93.215800000000002</v>
      </c>
      <c r="H825">
        <v>-6</v>
      </c>
      <c r="I825">
        <v>4</v>
      </c>
      <c r="J825" t="str">
        <f>HYPERLINK("https://climate.onebuilding.org/WMO_Region_4_North_and_Central_America/USA_United_States_of_America/LA_Louisiana/USA_LA_Lake.Charles.Rgnl.AP.722400_US.Normals.1981-2010.zip")</f>
        <v>https://climate.onebuilding.org/WMO_Region_4_North_and_Central_America/USA_United_States_of_America/LA_Louisiana/USA_LA_Lake.Charles.Rgnl.AP.722400_US.Normals.1981-2010.zip</v>
      </c>
    </row>
    <row r="826" spans="1:10" x14ac:dyDescent="0.25">
      <c r="A826" t="s">
        <v>35</v>
      </c>
      <c r="B826" t="s">
        <v>521</v>
      </c>
      <c r="C826" t="s">
        <v>528</v>
      </c>
      <c r="D826" s="2">
        <v>722400</v>
      </c>
      <c r="E826" t="s">
        <v>13</v>
      </c>
      <c r="F826">
        <v>30.125</v>
      </c>
      <c r="G826">
        <v>-93.215800000000002</v>
      </c>
      <c r="H826">
        <v>-6</v>
      </c>
      <c r="I826">
        <v>4</v>
      </c>
      <c r="J826" t="str">
        <f>HYPERLINK("https://climate.onebuilding.org/WMO_Region_4_North_and_Central_America/USA_United_States_of_America/LA_Louisiana/USA_LA_Lake.Charles.Rgnl.AP.722400_US.Normals.1991-2020.zip")</f>
        <v>https://climate.onebuilding.org/WMO_Region_4_North_and_Central_America/USA_United_States_of_America/LA_Louisiana/USA_LA_Lake.Charles.Rgnl.AP.722400_US.Normals.1991-2020.zip</v>
      </c>
    </row>
    <row r="827" spans="1:10" x14ac:dyDescent="0.25">
      <c r="A827" t="s">
        <v>35</v>
      </c>
      <c r="B827" t="s">
        <v>521</v>
      </c>
      <c r="C827" t="s">
        <v>528</v>
      </c>
      <c r="D827" s="2">
        <v>722400</v>
      </c>
      <c r="E827" t="s">
        <v>13</v>
      </c>
      <c r="F827">
        <v>30.125</v>
      </c>
      <c r="G827">
        <v>-93.215800000000002</v>
      </c>
      <c r="H827">
        <v>-6</v>
      </c>
      <c r="I827">
        <v>4</v>
      </c>
      <c r="J827" t="str">
        <f>HYPERLINK("https://climate.onebuilding.org/WMO_Region_4_North_and_Central_America/USA_United_States_of_America/LA_Louisiana/USA_LA_Lake.Charles.Rgnl.AP.722400_US.Normals.2006-2020.zip")</f>
        <v>https://climate.onebuilding.org/WMO_Region_4_North_and_Central_America/USA_United_States_of_America/LA_Louisiana/USA_LA_Lake.Charles.Rgnl.AP.722400_US.Normals.2006-2020.zip</v>
      </c>
    </row>
    <row r="828" spans="1:10" x14ac:dyDescent="0.25">
      <c r="A828" t="s">
        <v>35</v>
      </c>
      <c r="B828" t="s">
        <v>521</v>
      </c>
      <c r="C828" t="s">
        <v>529</v>
      </c>
      <c r="D828" s="2">
        <v>722486</v>
      </c>
      <c r="E828" t="s">
        <v>13</v>
      </c>
      <c r="F828">
        <v>32.515599999999999</v>
      </c>
      <c r="G828">
        <v>-92.040599999999998</v>
      </c>
      <c r="H828">
        <v>-6</v>
      </c>
      <c r="I828">
        <v>24.1</v>
      </c>
      <c r="J828" t="str">
        <f>HYPERLINK("https://climate.onebuilding.org/WMO_Region_4_North_and_Central_America/USA_United_States_of_America/LA_Louisiana/USA_LA_Monroe.Rgnl.AP.722486_US.Normals.1981-2010.zip")</f>
        <v>https://climate.onebuilding.org/WMO_Region_4_North_and_Central_America/USA_United_States_of_America/LA_Louisiana/USA_LA_Monroe.Rgnl.AP.722486_US.Normals.1981-2010.zip</v>
      </c>
    </row>
    <row r="829" spans="1:10" x14ac:dyDescent="0.25">
      <c r="A829" t="s">
        <v>35</v>
      </c>
      <c r="B829" t="s">
        <v>521</v>
      </c>
      <c r="C829" t="s">
        <v>529</v>
      </c>
      <c r="D829" s="2">
        <v>722486</v>
      </c>
      <c r="E829" t="s">
        <v>13</v>
      </c>
      <c r="F829">
        <v>32.515599999999999</v>
      </c>
      <c r="G829">
        <v>-92.040599999999998</v>
      </c>
      <c r="H829">
        <v>-6</v>
      </c>
      <c r="I829">
        <v>24.1</v>
      </c>
      <c r="J829" t="str">
        <f>HYPERLINK("https://climate.onebuilding.org/WMO_Region_4_North_and_Central_America/USA_United_States_of_America/LA_Louisiana/USA_LA_Monroe.Rgnl.AP.722486_US.Normals.1991-2020.zip")</f>
        <v>https://climate.onebuilding.org/WMO_Region_4_North_and_Central_America/USA_United_States_of_America/LA_Louisiana/USA_LA_Monroe.Rgnl.AP.722486_US.Normals.1991-2020.zip</v>
      </c>
    </row>
    <row r="830" spans="1:10" x14ac:dyDescent="0.25">
      <c r="A830" t="s">
        <v>35</v>
      </c>
      <c r="B830" t="s">
        <v>521</v>
      </c>
      <c r="C830" t="s">
        <v>529</v>
      </c>
      <c r="D830" s="2">
        <v>722486</v>
      </c>
      <c r="E830" t="s">
        <v>13</v>
      </c>
      <c r="F830">
        <v>32.515599999999999</v>
      </c>
      <c r="G830">
        <v>-92.040599999999998</v>
      </c>
      <c r="H830">
        <v>-6</v>
      </c>
      <c r="I830">
        <v>24.1</v>
      </c>
      <c r="J830" t="str">
        <f>HYPERLINK("https://climate.onebuilding.org/WMO_Region_4_North_and_Central_America/USA_United_States_of_America/LA_Louisiana/USA_LA_Monroe.Rgnl.AP.722486_US.Normals.2006-2020.zip")</f>
        <v>https://climate.onebuilding.org/WMO_Region_4_North_and_Central_America/USA_United_States_of_America/LA_Louisiana/USA_LA_Monroe.Rgnl.AP.722486_US.Normals.2006-2020.zip</v>
      </c>
    </row>
    <row r="831" spans="1:10" x14ac:dyDescent="0.25">
      <c r="A831" t="s">
        <v>35</v>
      </c>
      <c r="B831" t="s">
        <v>521</v>
      </c>
      <c r="C831" t="s">
        <v>530</v>
      </c>
      <c r="D831" s="2">
        <v>722314</v>
      </c>
      <c r="E831" t="s">
        <v>13</v>
      </c>
      <c r="F831">
        <v>30.037500000000001</v>
      </c>
      <c r="G831">
        <v>-91.883899999999997</v>
      </c>
      <c r="H831">
        <v>-6</v>
      </c>
      <c r="I831">
        <v>7.3</v>
      </c>
      <c r="J831" t="str">
        <f>HYPERLINK("https://climate.onebuilding.org/WMO_Region_4_North_and_Central_America/USA_United_States_of_America/LA_Louisiana/USA_LA_New.Iberia-Acadiana.Rgnl.AP.722314_US.Normals.2006-2020.zip")</f>
        <v>https://climate.onebuilding.org/WMO_Region_4_North_and_Central_America/USA_United_States_of_America/LA_Louisiana/USA_LA_New.Iberia-Acadiana.Rgnl.AP.722314_US.Normals.2006-2020.zip</v>
      </c>
    </row>
    <row r="832" spans="1:10" x14ac:dyDescent="0.25">
      <c r="A832" t="s">
        <v>35</v>
      </c>
      <c r="B832" t="s">
        <v>521</v>
      </c>
      <c r="C832" t="s">
        <v>531</v>
      </c>
      <c r="D832" s="2">
        <v>722310</v>
      </c>
      <c r="E832" t="s">
        <v>13</v>
      </c>
      <c r="F832">
        <v>29.993300000000001</v>
      </c>
      <c r="G832">
        <v>-90.251099999999994</v>
      </c>
      <c r="H832">
        <v>-6</v>
      </c>
      <c r="I832">
        <v>1.2</v>
      </c>
      <c r="J832" t="str">
        <f>HYPERLINK("https://climate.onebuilding.org/WMO_Region_4_North_and_Central_America/USA_United_States_of_America/LA_Louisiana/USA_LA_New.Orleans-Armstrong.Intl.AP.722310_US.Normals.1981-2010.zip")</f>
        <v>https://climate.onebuilding.org/WMO_Region_4_North_and_Central_America/USA_United_States_of_America/LA_Louisiana/USA_LA_New.Orleans-Armstrong.Intl.AP.722310_US.Normals.1981-2010.zip</v>
      </c>
    </row>
    <row r="833" spans="1:10" x14ac:dyDescent="0.25">
      <c r="A833" t="s">
        <v>35</v>
      </c>
      <c r="B833" t="s">
        <v>521</v>
      </c>
      <c r="C833" t="s">
        <v>531</v>
      </c>
      <c r="D833" s="2">
        <v>722310</v>
      </c>
      <c r="E833" t="s">
        <v>13</v>
      </c>
      <c r="F833">
        <v>29.993300000000001</v>
      </c>
      <c r="G833">
        <v>-90.251099999999994</v>
      </c>
      <c r="H833">
        <v>-6</v>
      </c>
      <c r="I833">
        <v>1.2</v>
      </c>
      <c r="J833" t="str">
        <f>HYPERLINK("https://climate.onebuilding.org/WMO_Region_4_North_and_Central_America/USA_United_States_of_America/LA_Louisiana/USA_LA_New.Orleans-Armstrong.Intl.AP.722310_US.Normals.1991-2020.zip")</f>
        <v>https://climate.onebuilding.org/WMO_Region_4_North_and_Central_America/USA_United_States_of_America/LA_Louisiana/USA_LA_New.Orleans-Armstrong.Intl.AP.722310_US.Normals.1991-2020.zip</v>
      </c>
    </row>
    <row r="834" spans="1:10" x14ac:dyDescent="0.25">
      <c r="A834" t="s">
        <v>35</v>
      </c>
      <c r="B834" t="s">
        <v>521</v>
      </c>
      <c r="C834" t="s">
        <v>531</v>
      </c>
      <c r="D834" s="2">
        <v>722310</v>
      </c>
      <c r="E834" t="s">
        <v>13</v>
      </c>
      <c r="F834">
        <v>29.993300000000001</v>
      </c>
      <c r="G834">
        <v>-90.251099999999994</v>
      </c>
      <c r="H834">
        <v>-6</v>
      </c>
      <c r="I834">
        <v>1.2</v>
      </c>
      <c r="J834" t="str">
        <f>HYPERLINK("https://climate.onebuilding.org/WMO_Region_4_North_and_Central_America/USA_United_States_of_America/LA_Louisiana/USA_LA_New.Orleans-Armstrong.Intl.AP.722310_US.Normals.2006-2020.zip")</f>
        <v>https://climate.onebuilding.org/WMO_Region_4_North_and_Central_America/USA_United_States_of_America/LA_Louisiana/USA_LA_New.Orleans-Armstrong.Intl.AP.722310_US.Normals.2006-2020.zip</v>
      </c>
    </row>
    <row r="835" spans="1:10" x14ac:dyDescent="0.25">
      <c r="A835" t="s">
        <v>35</v>
      </c>
      <c r="B835" t="s">
        <v>521</v>
      </c>
      <c r="C835" t="s">
        <v>532</v>
      </c>
      <c r="D835" s="2">
        <v>722315</v>
      </c>
      <c r="E835" t="s">
        <v>13</v>
      </c>
      <c r="F835">
        <v>30.049399999999999</v>
      </c>
      <c r="G835">
        <v>-90.028899999999993</v>
      </c>
      <c r="H835">
        <v>-6</v>
      </c>
      <c r="I835">
        <v>2.7</v>
      </c>
      <c r="J835" t="str">
        <f>HYPERLINK("https://climate.onebuilding.org/WMO_Region_4_North_and_Central_America/USA_United_States_of_America/LA_Louisiana/USA_LA_New.Orleans-Lakefront.AP.722315_US.Normals.1991-2020.zip")</f>
        <v>https://climate.onebuilding.org/WMO_Region_4_North_and_Central_America/USA_United_States_of_America/LA_Louisiana/USA_LA_New.Orleans-Lakefront.AP.722315_US.Normals.1991-2020.zip</v>
      </c>
    </row>
    <row r="836" spans="1:10" x14ac:dyDescent="0.25">
      <c r="A836" t="s">
        <v>35</v>
      </c>
      <c r="B836" t="s">
        <v>521</v>
      </c>
      <c r="C836" t="s">
        <v>532</v>
      </c>
      <c r="D836" s="2">
        <v>722315</v>
      </c>
      <c r="E836" t="s">
        <v>13</v>
      </c>
      <c r="F836">
        <v>30.049399999999999</v>
      </c>
      <c r="G836">
        <v>-90.028899999999993</v>
      </c>
      <c r="H836">
        <v>-6</v>
      </c>
      <c r="I836">
        <v>2.7</v>
      </c>
      <c r="J836" t="str">
        <f>HYPERLINK("https://climate.onebuilding.org/WMO_Region_4_North_and_Central_America/USA_United_States_of_America/LA_Louisiana/USA_LA_New.Orleans-Lakefront.AP.722315_US.Normals.2006-2020.zip")</f>
        <v>https://climate.onebuilding.org/WMO_Region_4_North_and_Central_America/USA_United_States_of_America/LA_Louisiana/USA_LA_New.Orleans-Lakefront.AP.722315_US.Normals.2006-2020.zip</v>
      </c>
    </row>
    <row r="837" spans="1:10" x14ac:dyDescent="0.25">
      <c r="A837" t="s">
        <v>35</v>
      </c>
      <c r="B837" t="s">
        <v>521</v>
      </c>
      <c r="C837" t="s">
        <v>533</v>
      </c>
      <c r="D837" s="2">
        <v>722316</v>
      </c>
      <c r="E837" t="s">
        <v>13</v>
      </c>
      <c r="F837">
        <v>29.816700000000001</v>
      </c>
      <c r="G837">
        <v>-90.0167</v>
      </c>
      <c r="H837">
        <v>-6</v>
      </c>
      <c r="I837">
        <v>1.5</v>
      </c>
      <c r="J837" t="str">
        <f>HYPERLINK("https://climate.onebuilding.org/WMO_Region_4_North_and_Central_America/USA_United_States_of_America/LA_Louisiana/USA_LA_New.Orleans-NAS.JRB.New.Orleans-Callender.Field.722316_US.Normals.2006-2020.zip")</f>
        <v>https://climate.onebuilding.org/WMO_Region_4_North_and_Central_America/USA_United_States_of_America/LA_Louisiana/USA_LA_New.Orleans-NAS.JRB.New.Orleans-Callender.Field.722316_US.Normals.2006-2020.zip</v>
      </c>
    </row>
    <row r="838" spans="1:10" x14ac:dyDescent="0.25">
      <c r="A838" t="s">
        <v>35</v>
      </c>
      <c r="B838" t="s">
        <v>521</v>
      </c>
      <c r="C838" t="s">
        <v>534</v>
      </c>
      <c r="D838" s="2">
        <v>722403</v>
      </c>
      <c r="E838" t="s">
        <v>13</v>
      </c>
      <c r="F838">
        <v>29.562200000000001</v>
      </c>
      <c r="G838">
        <v>-91.525599999999997</v>
      </c>
      <c r="H838">
        <v>-6</v>
      </c>
      <c r="I838">
        <v>1.2</v>
      </c>
      <c r="J838" t="str">
        <f>HYPERLINK("https://climate.onebuilding.org/WMO_Region_4_North_and_Central_America/USA_United_States_of_America/LA_Louisiana/USA_LA_Salt.Point.722403_US.Normals.2006-2020.zip")</f>
        <v>https://climate.onebuilding.org/WMO_Region_4_North_and_Central_America/USA_United_States_of_America/LA_Louisiana/USA_LA_Salt.Point.722403_US.Normals.2006-2020.zip</v>
      </c>
    </row>
    <row r="839" spans="1:10" x14ac:dyDescent="0.25">
      <c r="A839" t="s">
        <v>35</v>
      </c>
      <c r="B839" t="s">
        <v>521</v>
      </c>
      <c r="C839" t="s">
        <v>535</v>
      </c>
      <c r="D839" s="2">
        <v>722485</v>
      </c>
      <c r="E839" t="s">
        <v>13</v>
      </c>
      <c r="F839">
        <v>32.5</v>
      </c>
      <c r="G839">
        <v>-93.666700000000006</v>
      </c>
      <c r="H839">
        <v>-6</v>
      </c>
      <c r="I839">
        <v>53.9</v>
      </c>
      <c r="J839" t="str">
        <f>HYPERLINK("https://climate.onebuilding.org/WMO_Region_4_North_and_Central_America/USA_United_States_of_America/LA_Louisiana/USA_LA_Shreveport-Bossier.City-Barksdale.AFB.722485_US.Normals.2006-2020.zip")</f>
        <v>https://climate.onebuilding.org/WMO_Region_4_North_and_Central_America/USA_United_States_of_America/LA_Louisiana/USA_LA_Shreveport-Bossier.City-Barksdale.AFB.722485_US.Normals.2006-2020.zip</v>
      </c>
    </row>
    <row r="840" spans="1:10" x14ac:dyDescent="0.25">
      <c r="A840" t="s">
        <v>35</v>
      </c>
      <c r="B840" t="s">
        <v>521</v>
      </c>
      <c r="C840" t="s">
        <v>536</v>
      </c>
      <c r="D840" s="2">
        <v>722484</v>
      </c>
      <c r="E840" t="s">
        <v>13</v>
      </c>
      <c r="F840">
        <v>32.5428</v>
      </c>
      <c r="G840">
        <v>-93.745000000000005</v>
      </c>
      <c r="H840">
        <v>-6</v>
      </c>
      <c r="I840">
        <v>54.6</v>
      </c>
      <c r="J840" t="str">
        <f>HYPERLINK("https://climate.onebuilding.org/WMO_Region_4_North_and_Central_America/USA_United_States_of_America/LA_Louisiana/USA_LA_Shreveport.Downtown.AP.722484_US.Normals.2006-2020.zip")</f>
        <v>https://climate.onebuilding.org/WMO_Region_4_North_and_Central_America/USA_United_States_of_America/LA_Louisiana/USA_LA_Shreveport.Downtown.AP.722484_US.Normals.2006-2020.zip</v>
      </c>
    </row>
    <row r="841" spans="1:10" x14ac:dyDescent="0.25">
      <c r="A841" t="s">
        <v>35</v>
      </c>
      <c r="B841" t="s">
        <v>521</v>
      </c>
      <c r="C841" t="s">
        <v>537</v>
      </c>
      <c r="D841" s="2">
        <v>722480</v>
      </c>
      <c r="E841" t="s">
        <v>13</v>
      </c>
      <c r="F841">
        <v>32.450600000000001</v>
      </c>
      <c r="G841">
        <v>-93.841099999999997</v>
      </c>
      <c r="H841">
        <v>-6</v>
      </c>
      <c r="I841">
        <v>83.2</v>
      </c>
      <c r="J841" t="str">
        <f>HYPERLINK("https://climate.onebuilding.org/WMO_Region_4_North_and_Central_America/USA_United_States_of_America/LA_Louisiana/USA_LA_Shreveport.Rgnl.AP.722480_US.Normals.1981-2010.zip")</f>
        <v>https://climate.onebuilding.org/WMO_Region_4_North_and_Central_America/USA_United_States_of_America/LA_Louisiana/USA_LA_Shreveport.Rgnl.AP.722480_US.Normals.1981-2010.zip</v>
      </c>
    </row>
    <row r="842" spans="1:10" x14ac:dyDescent="0.25">
      <c r="A842" t="s">
        <v>35</v>
      </c>
      <c r="B842" t="s">
        <v>521</v>
      </c>
      <c r="C842" t="s">
        <v>537</v>
      </c>
      <c r="D842" s="2">
        <v>722480</v>
      </c>
      <c r="E842" t="s">
        <v>13</v>
      </c>
      <c r="F842">
        <v>32.450600000000001</v>
      </c>
      <c r="G842">
        <v>-93.841099999999997</v>
      </c>
      <c r="H842">
        <v>-6</v>
      </c>
      <c r="I842">
        <v>83.2</v>
      </c>
      <c r="J842" t="str">
        <f>HYPERLINK("https://climate.onebuilding.org/WMO_Region_4_North_and_Central_America/USA_United_States_of_America/LA_Louisiana/USA_LA_Shreveport.Rgnl.AP.722480_US.Normals.1991-2020.zip")</f>
        <v>https://climate.onebuilding.org/WMO_Region_4_North_and_Central_America/USA_United_States_of_America/LA_Louisiana/USA_LA_Shreveport.Rgnl.AP.722480_US.Normals.1991-2020.zip</v>
      </c>
    </row>
    <row r="843" spans="1:10" x14ac:dyDescent="0.25">
      <c r="A843" t="s">
        <v>35</v>
      </c>
      <c r="B843" t="s">
        <v>521</v>
      </c>
      <c r="C843" t="s">
        <v>537</v>
      </c>
      <c r="D843" s="2">
        <v>722480</v>
      </c>
      <c r="E843" t="s">
        <v>13</v>
      </c>
      <c r="F843">
        <v>32.450600000000001</v>
      </c>
      <c r="G843">
        <v>-93.841099999999997</v>
      </c>
      <c r="H843">
        <v>-6</v>
      </c>
      <c r="I843">
        <v>83.2</v>
      </c>
      <c r="J843" t="str">
        <f>HYPERLINK("https://climate.onebuilding.org/WMO_Region_4_North_and_Central_America/USA_United_States_of_America/LA_Louisiana/USA_LA_Shreveport.Rgnl.AP.722480_US.Normals.2006-2020.zip")</f>
        <v>https://climate.onebuilding.org/WMO_Region_4_North_and_Central_America/USA_United_States_of_America/LA_Louisiana/USA_LA_Shreveport.Rgnl.AP.722480_US.Normals.2006-2020.zip</v>
      </c>
    </row>
    <row r="844" spans="1:10" x14ac:dyDescent="0.25">
      <c r="A844" t="s">
        <v>35</v>
      </c>
      <c r="B844" t="s">
        <v>521</v>
      </c>
      <c r="C844" t="s">
        <v>538</v>
      </c>
      <c r="D844" s="2">
        <v>722330</v>
      </c>
      <c r="E844" t="s">
        <v>13</v>
      </c>
      <c r="F844">
        <v>30.343299999999999</v>
      </c>
      <c r="G844">
        <v>-89.822199999999995</v>
      </c>
      <c r="H844">
        <v>-6</v>
      </c>
      <c r="I844">
        <v>8.1999999999999993</v>
      </c>
      <c r="J844" t="str">
        <f>HYPERLINK("https://climate.onebuilding.org/WMO_Region_4_North_and_Central_America/USA_United_States_of_America/LA_Louisiana/USA_LA_Slidell.Muni.AP-New.Orleans.WFO.722330_US.Normals.2006-2020.zip")</f>
        <v>https://climate.onebuilding.org/WMO_Region_4_North_and_Central_America/USA_United_States_of_America/LA_Louisiana/USA_LA_Slidell.Muni.AP-New.Orleans.WFO.722330_US.Normals.2006-2020.zip</v>
      </c>
    </row>
    <row r="845" spans="1:10" x14ac:dyDescent="0.25">
      <c r="A845" t="s">
        <v>35</v>
      </c>
      <c r="B845" t="s">
        <v>521</v>
      </c>
      <c r="C845" t="s">
        <v>539</v>
      </c>
      <c r="D845" s="2">
        <v>747600</v>
      </c>
      <c r="E845" t="s">
        <v>13</v>
      </c>
      <c r="F845">
        <v>30.091699999999999</v>
      </c>
      <c r="G845">
        <v>-91.873099999999994</v>
      </c>
      <c r="H845">
        <v>-6</v>
      </c>
      <c r="I845">
        <v>10.7</v>
      </c>
      <c r="J845" t="str">
        <f>HYPERLINK("https://climate.onebuilding.org/WMO_Region_4_North_and_Central_America/USA_United_States_of_America/LA_Louisiana/USA_LA_Univ.Louisiana.747600_US.Normals.2006-2020.zip")</f>
        <v>https://climate.onebuilding.org/WMO_Region_4_North_and_Central_America/USA_United_States_of_America/LA_Louisiana/USA_LA_Univ.Louisiana.747600_US.Normals.2006-2020.zip</v>
      </c>
    </row>
    <row r="846" spans="1:10" x14ac:dyDescent="0.25">
      <c r="A846" t="s">
        <v>35</v>
      </c>
      <c r="B846" t="s">
        <v>521</v>
      </c>
      <c r="C846" t="s">
        <v>540</v>
      </c>
      <c r="D846" s="2">
        <v>747610</v>
      </c>
      <c r="E846" t="s">
        <v>13</v>
      </c>
      <c r="F846">
        <v>32.883299999999998</v>
      </c>
      <c r="G846">
        <v>-92.116399999999999</v>
      </c>
      <c r="H846">
        <v>-6</v>
      </c>
      <c r="I846">
        <v>26.8</v>
      </c>
      <c r="J846" t="str">
        <f>HYPERLINK("https://climate.onebuilding.org/WMO_Region_4_North_and_Central_America/USA_United_States_of_America/LA_Louisiana/USA_LA_Upper.Ouachita.Natl.Wildlife.Refuge.747610_US.Normals.2006-2020.zip")</f>
        <v>https://climate.onebuilding.org/WMO_Region_4_North_and_Central_America/USA_United_States_of_America/LA_Louisiana/USA_LA_Upper.Ouachita.Natl.Wildlife.Refuge.747610_US.Normals.2006-2020.zip</v>
      </c>
    </row>
    <row r="847" spans="1:10" x14ac:dyDescent="0.25">
      <c r="A847" t="s">
        <v>35</v>
      </c>
      <c r="B847" t="s">
        <v>521</v>
      </c>
      <c r="C847" t="s">
        <v>541</v>
      </c>
      <c r="D847" s="2">
        <v>722488</v>
      </c>
      <c r="E847" t="s">
        <v>13</v>
      </c>
      <c r="F847">
        <v>32.35</v>
      </c>
      <c r="G847">
        <v>-91.027799999999999</v>
      </c>
      <c r="H847">
        <v>-6</v>
      </c>
      <c r="I847">
        <v>26.2</v>
      </c>
      <c r="J847" t="str">
        <f>HYPERLINK("https://climate.onebuilding.org/WMO_Region_4_North_and_Central_America/USA_United_States_of_America/LA_Louisiana/USA_LA_Vicksburg-Tallulah.Rgnl.AP.722488_US.Normals.2006-2020.zip")</f>
        <v>https://climate.onebuilding.org/WMO_Region_4_North_and_Central_America/USA_United_States_of_America/LA_Louisiana/USA_LA_Vicksburg-Tallulah.Rgnl.AP.722488_US.Normals.2006-2020.zip</v>
      </c>
    </row>
    <row r="848" spans="1:10" x14ac:dyDescent="0.25">
      <c r="A848" t="s">
        <v>35</v>
      </c>
      <c r="B848" t="s">
        <v>542</v>
      </c>
      <c r="C848" t="s">
        <v>543</v>
      </c>
      <c r="D848" s="2">
        <v>744900</v>
      </c>
      <c r="E848" t="s">
        <v>13</v>
      </c>
      <c r="F848">
        <v>42.47</v>
      </c>
      <c r="G848">
        <v>-71.289400000000001</v>
      </c>
      <c r="H848">
        <v>-5</v>
      </c>
      <c r="I848">
        <v>40.5</v>
      </c>
      <c r="J848" t="str">
        <f>HYPERLINK("https://climate.onebuilding.org/WMO_Region_4_North_and_Central_America/USA_United_States_of_America/MA_Massachusetts/USA_MA_Bedford-Hanscom.Field.AP.744907_US.Normals.2006-2020.zip")</f>
        <v>https://climate.onebuilding.org/WMO_Region_4_North_and_Central_America/USA_United_States_of_America/MA_Massachusetts/USA_MA_Bedford-Hanscom.Field.AP.744907_US.Normals.2006-2020.zip</v>
      </c>
    </row>
    <row r="849" spans="1:10" x14ac:dyDescent="0.25">
      <c r="A849" t="s">
        <v>35</v>
      </c>
      <c r="B849" t="s">
        <v>542</v>
      </c>
      <c r="C849" t="s">
        <v>544</v>
      </c>
      <c r="D849" s="2">
        <v>725088</v>
      </c>
      <c r="E849" t="s">
        <v>13</v>
      </c>
      <c r="F849">
        <v>42.584200000000003</v>
      </c>
      <c r="G849">
        <v>-70.917500000000004</v>
      </c>
      <c r="H849">
        <v>-5</v>
      </c>
      <c r="I849">
        <v>32.9</v>
      </c>
      <c r="J849" t="str">
        <f>HYPERLINK("https://climate.onebuilding.org/WMO_Region_4_North_and_Central_America/USA_United_States_of_America/MA_Massachusetts/USA_MA_Beverly.Rgnl.AP.725088_US.Normals.2006-2020.zip")</f>
        <v>https://climate.onebuilding.org/WMO_Region_4_North_and_Central_America/USA_United_States_of_America/MA_Massachusetts/USA_MA_Beverly.Rgnl.AP.725088_US.Normals.2006-2020.zip</v>
      </c>
    </row>
    <row r="850" spans="1:10" x14ac:dyDescent="0.25">
      <c r="A850" t="s">
        <v>35</v>
      </c>
      <c r="B850" t="s">
        <v>542</v>
      </c>
      <c r="C850" t="s">
        <v>545</v>
      </c>
      <c r="D850" s="2">
        <v>744907</v>
      </c>
      <c r="E850" t="s">
        <v>13</v>
      </c>
      <c r="F850">
        <v>42.212200000000003</v>
      </c>
      <c r="G850">
        <v>-71.113600000000005</v>
      </c>
      <c r="H850">
        <v>-5</v>
      </c>
      <c r="I850">
        <v>190.5</v>
      </c>
      <c r="J850" t="str">
        <f>HYPERLINK("https://climate.onebuilding.org/WMO_Region_4_North_and_Central_America/USA_United_States_of_America/MA_Massachusetts/USA_MA_Blue.Hill.Obs.Science.Center.744920_US.Normals.2006-2020.zip")</f>
        <v>https://climate.onebuilding.org/WMO_Region_4_North_and_Central_America/USA_United_States_of_America/MA_Massachusetts/USA_MA_Blue.Hill.Obs.Science.Center.744920_US.Normals.2006-2020.zip</v>
      </c>
    </row>
    <row r="851" spans="1:10" x14ac:dyDescent="0.25">
      <c r="A851" t="s">
        <v>35</v>
      </c>
      <c r="B851" t="s">
        <v>542</v>
      </c>
      <c r="C851" t="s">
        <v>546</v>
      </c>
      <c r="D851" s="2">
        <v>725090</v>
      </c>
      <c r="E851" t="s">
        <v>13</v>
      </c>
      <c r="F851">
        <v>42.360599999999998</v>
      </c>
      <c r="G851">
        <v>-71.010599999999997</v>
      </c>
      <c r="H851">
        <v>-5</v>
      </c>
      <c r="I851">
        <v>3.7</v>
      </c>
      <c r="J851" t="str">
        <f>HYPERLINK("https://climate.onebuilding.org/WMO_Region_4_North_and_Central_America/USA_United_States_of_America/MA_Massachusetts/USA_MA_Boston-Logan.Intl.AP.725090_US.Normals.1981-2010.zip")</f>
        <v>https://climate.onebuilding.org/WMO_Region_4_North_and_Central_America/USA_United_States_of_America/MA_Massachusetts/USA_MA_Boston-Logan.Intl.AP.725090_US.Normals.1981-2010.zip</v>
      </c>
    </row>
    <row r="852" spans="1:10" x14ac:dyDescent="0.25">
      <c r="A852" t="s">
        <v>35</v>
      </c>
      <c r="B852" t="s">
        <v>542</v>
      </c>
      <c r="C852" t="s">
        <v>546</v>
      </c>
      <c r="D852" s="2">
        <v>725090</v>
      </c>
      <c r="E852" t="s">
        <v>13</v>
      </c>
      <c r="F852">
        <v>42.360599999999998</v>
      </c>
      <c r="G852">
        <v>-71.010599999999997</v>
      </c>
      <c r="H852">
        <v>-5</v>
      </c>
      <c r="I852">
        <v>3.7</v>
      </c>
      <c r="J852" t="str">
        <f>HYPERLINK("https://climate.onebuilding.org/WMO_Region_4_North_and_Central_America/USA_United_States_of_America/MA_Massachusetts/USA_MA_Boston-Logan.Intl.AP.725090_US.Normals.1991-2020.zip")</f>
        <v>https://climate.onebuilding.org/WMO_Region_4_North_and_Central_America/USA_United_States_of_America/MA_Massachusetts/USA_MA_Boston-Logan.Intl.AP.725090_US.Normals.1991-2020.zip</v>
      </c>
    </row>
    <row r="853" spans="1:10" x14ac:dyDescent="0.25">
      <c r="A853" t="s">
        <v>35</v>
      </c>
      <c r="B853" t="s">
        <v>542</v>
      </c>
      <c r="C853" t="s">
        <v>546</v>
      </c>
      <c r="D853" s="2">
        <v>725090</v>
      </c>
      <c r="E853" t="s">
        <v>13</v>
      </c>
      <c r="F853">
        <v>42.360599999999998</v>
      </c>
      <c r="G853">
        <v>-71.010599999999997</v>
      </c>
      <c r="H853">
        <v>-5</v>
      </c>
      <c r="I853">
        <v>3.7</v>
      </c>
      <c r="J853" t="str">
        <f>HYPERLINK("https://climate.onebuilding.org/WMO_Region_4_North_and_Central_America/USA_United_States_of_America/MA_Massachusetts/USA_MA_Boston-Logan.Intl.AP.725090_US.Normals.2006-2020.zip")</f>
        <v>https://climate.onebuilding.org/WMO_Region_4_North_and_Central_America/USA_United_States_of_America/MA_Massachusetts/USA_MA_Boston-Logan.Intl.AP.725090_US.Normals.2006-2020.zip</v>
      </c>
    </row>
    <row r="854" spans="1:10" x14ac:dyDescent="0.25">
      <c r="A854" t="s">
        <v>35</v>
      </c>
      <c r="B854" t="s">
        <v>542</v>
      </c>
      <c r="C854" t="s">
        <v>547</v>
      </c>
      <c r="D854" s="2">
        <v>725069</v>
      </c>
      <c r="E854" t="s">
        <v>13</v>
      </c>
      <c r="F854">
        <v>41.6875</v>
      </c>
      <c r="G854">
        <v>-69.993300000000005</v>
      </c>
      <c r="H854">
        <v>-5</v>
      </c>
      <c r="I854">
        <v>20.7</v>
      </c>
      <c r="J854" t="str">
        <f>HYPERLINK("https://climate.onebuilding.org/WMO_Region_4_North_and_Central_America/USA_United_States_of_America/MA_Massachusetts/USA_MA_Chatham.Muni.AP.725069_US.Normals.2006-2020.zip")</f>
        <v>https://climate.onebuilding.org/WMO_Region_4_North_and_Central_America/USA_United_States_of_America/MA_Massachusetts/USA_MA_Chatham.Muni.AP.725069_US.Normals.2006-2020.zip</v>
      </c>
    </row>
    <row r="855" spans="1:10" x14ac:dyDescent="0.25">
      <c r="A855" t="s">
        <v>35</v>
      </c>
      <c r="B855" t="s">
        <v>542</v>
      </c>
      <c r="C855" t="s">
        <v>548</v>
      </c>
      <c r="D855" s="2">
        <v>744910</v>
      </c>
      <c r="E855" t="s">
        <v>13</v>
      </c>
      <c r="F855">
        <v>42.2</v>
      </c>
      <c r="G855">
        <v>-72.533299999999997</v>
      </c>
      <c r="H855">
        <v>-5</v>
      </c>
      <c r="I855">
        <v>75</v>
      </c>
      <c r="J855" t="str">
        <f>HYPERLINK("https://climate.onebuilding.org/WMO_Region_4_North_and_Central_America/USA_United_States_of_America/MA_Massachusetts/USA_MA_Chicopee-Westover.Metro.AP.744910_US.Normals.2006-2020.zip")</f>
        <v>https://climate.onebuilding.org/WMO_Region_4_North_and_Central_America/USA_United_States_of_America/MA_Massachusetts/USA_MA_Chicopee-Westover.Metro.AP.744910_US.Normals.2006-2020.zip</v>
      </c>
    </row>
    <row r="856" spans="1:10" x14ac:dyDescent="0.25">
      <c r="A856" t="s">
        <v>35</v>
      </c>
      <c r="B856" t="s">
        <v>542</v>
      </c>
      <c r="C856" t="s">
        <v>549</v>
      </c>
      <c r="D856" s="2">
        <v>725107</v>
      </c>
      <c r="E856" t="s">
        <v>13</v>
      </c>
      <c r="F856">
        <v>42.551900000000003</v>
      </c>
      <c r="G856">
        <v>-71.755799999999994</v>
      </c>
      <c r="H856">
        <v>-5</v>
      </c>
      <c r="I856">
        <v>106.1</v>
      </c>
      <c r="J856" t="str">
        <f>HYPERLINK("https://climate.onebuilding.org/WMO_Region_4_North_and_Central_America/USA_United_States_of_America/MA_Massachusetts/USA_MA_Fitchburg.Muni.AP.725107_US.Normals.2006-2020.zip")</f>
        <v>https://climate.onebuilding.org/WMO_Region_4_North_and_Central_America/USA_United_States_of_America/MA_Massachusetts/USA_MA_Fitchburg.Muni.AP.725107_US.Normals.2006-2020.zip</v>
      </c>
    </row>
    <row r="857" spans="1:10" x14ac:dyDescent="0.25">
      <c r="A857" t="s">
        <v>35</v>
      </c>
      <c r="B857" t="s">
        <v>542</v>
      </c>
      <c r="C857" t="s">
        <v>492</v>
      </c>
      <c r="D857" s="2">
        <v>744904</v>
      </c>
      <c r="E857" t="s">
        <v>13</v>
      </c>
      <c r="F857">
        <v>42.717199999999998</v>
      </c>
      <c r="G857">
        <v>-71.123900000000006</v>
      </c>
      <c r="H857">
        <v>-5</v>
      </c>
      <c r="I857">
        <v>45.4</v>
      </c>
      <c r="J857" t="str">
        <f>HYPERLINK("https://climate.onebuilding.org/WMO_Region_4_North_and_Central_America/USA_United_States_of_America/MA_Massachusetts/USA_MA_Lawrence.Muni.AP.744904_US.Normals.2006-2020.zip")</f>
        <v>https://climate.onebuilding.org/WMO_Region_4_North_and_Central_America/USA_United_States_of_America/MA_Massachusetts/USA_MA_Lawrence.Muni.AP.744904_US.Normals.2006-2020.zip</v>
      </c>
    </row>
    <row r="858" spans="1:10" x14ac:dyDescent="0.25">
      <c r="A858" t="s">
        <v>35</v>
      </c>
      <c r="B858" t="s">
        <v>542</v>
      </c>
      <c r="C858" t="s">
        <v>550</v>
      </c>
      <c r="D858" s="2">
        <v>725066</v>
      </c>
      <c r="E858" t="s">
        <v>13</v>
      </c>
      <c r="F858">
        <v>41.393099999999997</v>
      </c>
      <c r="G858">
        <v>-70.614999999999995</v>
      </c>
      <c r="H858">
        <v>-5</v>
      </c>
      <c r="I858">
        <v>20.7</v>
      </c>
      <c r="J858" t="str">
        <f>HYPERLINK("https://climate.onebuilding.org/WMO_Region_4_North_and_Central_America/USA_United_States_of_America/MA_Massachusetts/USA_MA_Marthas.Vineyard.AP.725066_US.Normals.2006-2020.zip")</f>
        <v>https://climate.onebuilding.org/WMO_Region_4_North_and_Central_America/USA_United_States_of_America/MA_Massachusetts/USA_MA_Marthas.Vineyard.AP.725066_US.Normals.2006-2020.zip</v>
      </c>
    </row>
    <row r="859" spans="1:10" x14ac:dyDescent="0.25">
      <c r="A859" t="s">
        <v>35</v>
      </c>
      <c r="B859" t="s">
        <v>542</v>
      </c>
      <c r="C859" t="s">
        <v>551</v>
      </c>
      <c r="D859" s="2">
        <v>725065</v>
      </c>
      <c r="E859" t="s">
        <v>13</v>
      </c>
      <c r="F859">
        <v>41.676400000000001</v>
      </c>
      <c r="G859">
        <v>-70.958299999999994</v>
      </c>
      <c r="H859">
        <v>-5</v>
      </c>
      <c r="I859">
        <v>24.4</v>
      </c>
      <c r="J859" t="str">
        <f>HYPERLINK("https://climate.onebuilding.org/WMO_Region_4_North_and_Central_America/USA_United_States_of_America/MA_Massachusetts/USA_MA_New.Bedford.Rgnl.AP.725065_US.Normals.2006-2020.zip")</f>
        <v>https://climate.onebuilding.org/WMO_Region_4_North_and_Central_America/USA_United_States_of_America/MA_Massachusetts/USA_MA_New.Bedford.Rgnl.AP.725065_US.Normals.2006-2020.zip</v>
      </c>
    </row>
    <row r="860" spans="1:10" x14ac:dyDescent="0.25">
      <c r="A860" t="s">
        <v>35</v>
      </c>
      <c r="B860" t="s">
        <v>542</v>
      </c>
      <c r="C860" t="s">
        <v>552</v>
      </c>
      <c r="D860" s="2">
        <v>725075</v>
      </c>
      <c r="E860" t="s">
        <v>13</v>
      </c>
      <c r="F860">
        <v>42.695799999999998</v>
      </c>
      <c r="G860">
        <v>-73.1708</v>
      </c>
      <c r="H860">
        <v>-5</v>
      </c>
      <c r="I860">
        <v>199.3</v>
      </c>
      <c r="J860" t="str">
        <f>HYPERLINK("https://climate.onebuilding.org/WMO_Region_4_North_and_Central_America/USA_United_States_of_America/MA_Massachusetts/USA_MA_North.Adams-Harriman.and.West.AP.725075_US.Normals.2006-2020.zip")</f>
        <v>https://climate.onebuilding.org/WMO_Region_4_North_and_Central_America/USA_United_States_of_America/MA_Massachusetts/USA_MA_North.Adams-Harriman.and.West.AP.725075_US.Normals.2006-2020.zip</v>
      </c>
    </row>
    <row r="861" spans="1:10" x14ac:dyDescent="0.25">
      <c r="A861" t="s">
        <v>35</v>
      </c>
      <c r="B861" t="s">
        <v>542</v>
      </c>
      <c r="C861" t="s">
        <v>553</v>
      </c>
      <c r="D861" s="2">
        <v>725098</v>
      </c>
      <c r="E861" t="s">
        <v>13</v>
      </c>
      <c r="F861">
        <v>42.190800000000003</v>
      </c>
      <c r="G861">
        <v>-71.173599999999993</v>
      </c>
      <c r="H861">
        <v>-5</v>
      </c>
      <c r="I861">
        <v>15.2</v>
      </c>
      <c r="J861" t="str">
        <f>HYPERLINK("https://climate.onebuilding.org/WMO_Region_4_North_and_Central_America/USA_United_States_of_America/MA_Massachusetts/USA_MA_Norwood.Meml.AP.725098_US.Normals.2006-2020.zip")</f>
        <v>https://climate.onebuilding.org/WMO_Region_4_North_and_Central_America/USA_United_States_of_America/MA_Massachusetts/USA_MA_Norwood.Meml.AP.725098_US.Normals.2006-2020.zip</v>
      </c>
    </row>
    <row r="862" spans="1:10" x14ac:dyDescent="0.25">
      <c r="A862" t="s">
        <v>35</v>
      </c>
      <c r="B862" t="s">
        <v>542</v>
      </c>
      <c r="C862" t="s">
        <v>554</v>
      </c>
      <c r="D862" s="2">
        <v>725085</v>
      </c>
      <c r="E862" t="s">
        <v>13</v>
      </c>
      <c r="F862">
        <v>42.57</v>
      </c>
      <c r="G862">
        <v>-72.2911</v>
      </c>
      <c r="H862">
        <v>-5</v>
      </c>
      <c r="I862">
        <v>169.2</v>
      </c>
      <c r="J862" t="str">
        <f>HYPERLINK("https://climate.onebuilding.org/WMO_Region_4_North_and_Central_America/USA_United_States_of_America/MA_Massachusetts/USA_MA_Orange.Muni.AP.725085_US.Normals.2006-2020.zip")</f>
        <v>https://climate.onebuilding.org/WMO_Region_4_North_and_Central_America/USA_United_States_of_America/MA_Massachusetts/USA_MA_Orange.Muni.AP.725085_US.Normals.2006-2020.zip</v>
      </c>
    </row>
    <row r="863" spans="1:10" x14ac:dyDescent="0.25">
      <c r="A863" t="s">
        <v>35</v>
      </c>
      <c r="B863" t="s">
        <v>542</v>
      </c>
      <c r="C863" t="s">
        <v>555</v>
      </c>
      <c r="D863" s="2">
        <v>744104</v>
      </c>
      <c r="E863" t="s">
        <v>13</v>
      </c>
      <c r="F863">
        <v>42.427199999999999</v>
      </c>
      <c r="G863">
        <v>-73.289199999999994</v>
      </c>
      <c r="H863">
        <v>-5</v>
      </c>
      <c r="I863">
        <v>363.9</v>
      </c>
      <c r="J863" t="str">
        <f>HYPERLINK("https://climate.onebuilding.org/WMO_Region_4_North_and_Central_America/USA_United_States_of_America/MA_Massachusetts/USA_MA_Pittsfield.Muni.AP.744104_US.Normals.2006-2020.zip")</f>
        <v>https://climate.onebuilding.org/WMO_Region_4_North_and_Central_America/USA_United_States_of_America/MA_Massachusetts/USA_MA_Pittsfield.Muni.AP.744104_US.Normals.2006-2020.zip</v>
      </c>
    </row>
    <row r="864" spans="1:10" x14ac:dyDescent="0.25">
      <c r="A864" t="s">
        <v>35</v>
      </c>
      <c r="B864" t="s">
        <v>542</v>
      </c>
      <c r="C864" t="s">
        <v>556</v>
      </c>
      <c r="D864" s="2">
        <v>725064</v>
      </c>
      <c r="E864" t="s">
        <v>13</v>
      </c>
      <c r="F864">
        <v>41.909700000000001</v>
      </c>
      <c r="G864">
        <v>-70.729399999999998</v>
      </c>
      <c r="H864">
        <v>-5</v>
      </c>
      <c r="I864">
        <v>45.4</v>
      </c>
      <c r="J864" t="str">
        <f>HYPERLINK("https://climate.onebuilding.org/WMO_Region_4_North_and_Central_America/USA_United_States_of_America/MA_Massachusetts/USA_MA_Plymouth.Muni.AP.725064_US.Normals.1991-2020.zip")</f>
        <v>https://climate.onebuilding.org/WMO_Region_4_North_and_Central_America/USA_United_States_of_America/MA_Massachusetts/USA_MA_Plymouth.Muni.AP.725064_US.Normals.1991-2020.zip</v>
      </c>
    </row>
    <row r="865" spans="1:10" x14ac:dyDescent="0.25">
      <c r="A865" t="s">
        <v>35</v>
      </c>
      <c r="B865" t="s">
        <v>542</v>
      </c>
      <c r="C865" t="s">
        <v>556</v>
      </c>
      <c r="D865" s="2">
        <v>725064</v>
      </c>
      <c r="E865" t="s">
        <v>13</v>
      </c>
      <c r="F865">
        <v>41.909700000000001</v>
      </c>
      <c r="G865">
        <v>-70.729399999999998</v>
      </c>
      <c r="H865">
        <v>-5</v>
      </c>
      <c r="I865">
        <v>45.4</v>
      </c>
      <c r="J865" t="str">
        <f>HYPERLINK("https://climate.onebuilding.org/WMO_Region_4_North_and_Central_America/USA_United_States_of_America/MA_Massachusetts/USA_MA_Plymouth.Muni.AP.725064_US.Normals.2006-2020.zip")</f>
        <v>https://climate.onebuilding.org/WMO_Region_4_North_and_Central_America/USA_United_States_of_America/MA_Massachusetts/USA_MA_Plymouth.Muni.AP.725064_US.Normals.2006-2020.zip</v>
      </c>
    </row>
    <row r="866" spans="1:10" x14ac:dyDescent="0.25">
      <c r="A866" t="s">
        <v>35</v>
      </c>
      <c r="B866" t="s">
        <v>542</v>
      </c>
      <c r="C866" t="s">
        <v>557</v>
      </c>
      <c r="D866" s="2">
        <v>725068</v>
      </c>
      <c r="E866" t="s">
        <v>13</v>
      </c>
      <c r="F866">
        <v>41.875599999999999</v>
      </c>
      <c r="G866">
        <v>-71.021100000000004</v>
      </c>
      <c r="H866">
        <v>-5</v>
      </c>
      <c r="I866">
        <v>13.1</v>
      </c>
      <c r="J866" t="str">
        <f>HYPERLINK("https://climate.onebuilding.org/WMO_Region_4_North_and_Central_America/USA_United_States_of_America/MA_Massachusetts/USA_MA_Taunton.Muni.AP.725068_US.Normals.2006-2020.zip")</f>
        <v>https://climate.onebuilding.org/WMO_Region_4_North_and_Central_America/USA_United_States_of_America/MA_Massachusetts/USA_MA_Taunton.Muni.AP.725068_US.Normals.2006-2020.zip</v>
      </c>
    </row>
    <row r="867" spans="1:10" x14ac:dyDescent="0.25">
      <c r="A867" t="s">
        <v>35</v>
      </c>
      <c r="B867" t="s">
        <v>542</v>
      </c>
      <c r="C867" t="s">
        <v>558</v>
      </c>
      <c r="D867" s="2">
        <v>744915</v>
      </c>
      <c r="E867" t="s">
        <v>13</v>
      </c>
      <c r="F867">
        <v>42.157800000000002</v>
      </c>
      <c r="G867">
        <v>-72.716099999999997</v>
      </c>
      <c r="H867">
        <v>-5</v>
      </c>
      <c r="I867">
        <v>82.6</v>
      </c>
      <c r="J867" t="str">
        <f>HYPERLINK("https://climate.onebuilding.org/WMO_Region_4_North_and_Central_America/USA_United_States_of_America/MA_Massachusetts/USA_MA_Westfield-Barnes.Rgnl.AP.744915_US.Normals.2006-2020.zip")</f>
        <v>https://climate.onebuilding.org/WMO_Region_4_North_and_Central_America/USA_United_States_of_America/MA_Massachusetts/USA_MA_Westfield-Barnes.Rgnl.AP.744915_US.Normals.2006-2020.zip</v>
      </c>
    </row>
    <row r="868" spans="1:10" x14ac:dyDescent="0.25">
      <c r="A868" t="s">
        <v>35</v>
      </c>
      <c r="B868" t="s">
        <v>542</v>
      </c>
      <c r="C868" t="s">
        <v>559</v>
      </c>
      <c r="D868" s="2">
        <v>725100</v>
      </c>
      <c r="E868" t="s">
        <v>13</v>
      </c>
      <c r="F868">
        <v>42.270600000000002</v>
      </c>
      <c r="G868">
        <v>-71.873099999999994</v>
      </c>
      <c r="H868">
        <v>-5</v>
      </c>
      <c r="I868">
        <v>304.8</v>
      </c>
      <c r="J868" t="str">
        <f>HYPERLINK("https://climate.onebuilding.org/WMO_Region_4_North_and_Central_America/USA_United_States_of_America/MA_Massachusetts/USA_MA_Worcester.Rgnl.AP.725100_US.Normals.1981-2010.zip")</f>
        <v>https://climate.onebuilding.org/WMO_Region_4_North_and_Central_America/USA_United_States_of_America/MA_Massachusetts/USA_MA_Worcester.Rgnl.AP.725100_US.Normals.1981-2010.zip</v>
      </c>
    </row>
    <row r="869" spans="1:10" x14ac:dyDescent="0.25">
      <c r="A869" t="s">
        <v>35</v>
      </c>
      <c r="B869" t="s">
        <v>542</v>
      </c>
      <c r="C869" t="s">
        <v>559</v>
      </c>
      <c r="D869" s="2">
        <v>725100</v>
      </c>
      <c r="E869" t="s">
        <v>13</v>
      </c>
      <c r="F869">
        <v>42.270600000000002</v>
      </c>
      <c r="G869">
        <v>-71.873099999999994</v>
      </c>
      <c r="H869">
        <v>-5</v>
      </c>
      <c r="I869">
        <v>304.8</v>
      </c>
      <c r="J869" t="str">
        <f>HYPERLINK("https://climate.onebuilding.org/WMO_Region_4_North_and_Central_America/USA_United_States_of_America/MA_Massachusetts/USA_MA_Worcester.Rgnl.AP.725100_US.Normals.2006-2020.zip")</f>
        <v>https://climate.onebuilding.org/WMO_Region_4_North_and_Central_America/USA_United_States_of_America/MA_Massachusetts/USA_MA_Worcester.Rgnl.AP.725100_US.Normals.2006-2020.zip</v>
      </c>
    </row>
    <row r="870" spans="1:10" x14ac:dyDescent="0.25">
      <c r="A870" t="s">
        <v>35</v>
      </c>
      <c r="B870" t="s">
        <v>560</v>
      </c>
      <c r="C870" t="s">
        <v>561</v>
      </c>
      <c r="D870" s="2">
        <v>722158</v>
      </c>
      <c r="E870" t="s">
        <v>13</v>
      </c>
      <c r="F870">
        <v>38.991</v>
      </c>
      <c r="G870">
        <v>-76.489000000000004</v>
      </c>
      <c r="H870">
        <v>-5</v>
      </c>
      <c r="I870">
        <v>2.4</v>
      </c>
      <c r="J870" t="str">
        <f>HYPERLINK("https://climate.onebuilding.org/WMO_Region_4_North_and_Central_America/USA_United_States_of_America/MD_Maryland/USA_MD_Annapolis-US.Naval.Academy.722158_US.Normals.2006-2020.zip")</f>
        <v>https://climate.onebuilding.org/WMO_Region_4_North_and_Central_America/USA_United_States_of_America/MD_Maryland/USA_MD_Annapolis-US.Naval.Academy.722158_US.Normals.2006-2020.zip</v>
      </c>
    </row>
    <row r="871" spans="1:10" x14ac:dyDescent="0.25">
      <c r="A871" t="s">
        <v>35</v>
      </c>
      <c r="B871" t="s">
        <v>560</v>
      </c>
      <c r="C871" t="s">
        <v>562</v>
      </c>
      <c r="D871" s="2">
        <v>724060</v>
      </c>
      <c r="E871" t="s">
        <v>13</v>
      </c>
      <c r="F871">
        <v>39.166699999999999</v>
      </c>
      <c r="G871">
        <v>-76.683300000000003</v>
      </c>
      <c r="H871">
        <v>-5</v>
      </c>
      <c r="I871">
        <v>47.5</v>
      </c>
      <c r="J871" t="str">
        <f>HYPERLINK("https://climate.onebuilding.org/WMO_Region_4_North_and_Central_America/USA_United_States_of_America/MD_Maryland/USA_MD_Baltimore-Washington.Intl-Marshall.AP.724060_US.Normals.1981-2010.zip")</f>
        <v>https://climate.onebuilding.org/WMO_Region_4_North_and_Central_America/USA_United_States_of_America/MD_Maryland/USA_MD_Baltimore-Washington.Intl-Marshall.AP.724060_US.Normals.1981-2010.zip</v>
      </c>
    </row>
    <row r="872" spans="1:10" x14ac:dyDescent="0.25">
      <c r="A872" t="s">
        <v>35</v>
      </c>
      <c r="B872" t="s">
        <v>560</v>
      </c>
      <c r="C872" t="s">
        <v>562</v>
      </c>
      <c r="D872" s="2">
        <v>724060</v>
      </c>
      <c r="E872" t="s">
        <v>13</v>
      </c>
      <c r="F872">
        <v>39.166699999999999</v>
      </c>
      <c r="G872">
        <v>-76.683300000000003</v>
      </c>
      <c r="H872">
        <v>-5</v>
      </c>
      <c r="I872">
        <v>47.5</v>
      </c>
      <c r="J872" t="str">
        <f>HYPERLINK("https://climate.onebuilding.org/WMO_Region_4_North_and_Central_America/USA_United_States_of_America/MD_Maryland/USA_MD_Baltimore-Washington.Intl-Marshall.AP.724060_US.Normals.1991-2020.zip")</f>
        <v>https://climate.onebuilding.org/WMO_Region_4_North_and_Central_America/USA_United_States_of_America/MD_Maryland/USA_MD_Baltimore-Washington.Intl-Marshall.AP.724060_US.Normals.1991-2020.zip</v>
      </c>
    </row>
    <row r="873" spans="1:10" x14ac:dyDescent="0.25">
      <c r="A873" t="s">
        <v>35</v>
      </c>
      <c r="B873" t="s">
        <v>560</v>
      </c>
      <c r="C873" t="s">
        <v>562</v>
      </c>
      <c r="D873" s="2">
        <v>724060</v>
      </c>
      <c r="E873" t="s">
        <v>13</v>
      </c>
      <c r="F873">
        <v>39.166699999999999</v>
      </c>
      <c r="G873">
        <v>-76.683300000000003</v>
      </c>
      <c r="H873">
        <v>-5</v>
      </c>
      <c r="I873">
        <v>47.5</v>
      </c>
      <c r="J873" t="str">
        <f>HYPERLINK("https://climate.onebuilding.org/WMO_Region_4_North_and_Central_America/USA_United_States_of_America/MD_Maryland/USA_MD_Baltimore-Washington.Intl-Marshall.AP.724060_US.Normals.2006-2020.zip")</f>
        <v>https://climate.onebuilding.org/WMO_Region_4_North_and_Central_America/USA_United_States_of_America/MD_Maryland/USA_MD_Baltimore-Washington.Intl-Marshall.AP.724060_US.Normals.2006-2020.zip</v>
      </c>
    </row>
    <row r="874" spans="1:10" x14ac:dyDescent="0.25">
      <c r="A874" t="s">
        <v>35</v>
      </c>
      <c r="B874" t="s">
        <v>560</v>
      </c>
      <c r="C874" t="s">
        <v>563</v>
      </c>
      <c r="D874" s="2">
        <v>745944</v>
      </c>
      <c r="E874" t="s">
        <v>13</v>
      </c>
      <c r="F874">
        <v>39.281399999999998</v>
      </c>
      <c r="G874">
        <v>-76.608900000000006</v>
      </c>
      <c r="H874">
        <v>-5</v>
      </c>
      <c r="I874">
        <v>6.1</v>
      </c>
      <c r="J874" t="str">
        <f>HYPERLINK("https://climate.onebuilding.org/WMO_Region_4_North_and_Central_America/USA_United_States_of_America/MD_Maryland/USA_MD_Baltimore.Downtown.745944_US.Normals.2006-2020.zip")</f>
        <v>https://climate.onebuilding.org/WMO_Region_4_North_and_Central_America/USA_United_States_of_America/MD_Maryland/USA_MD_Baltimore.Downtown.745944_US.Normals.2006-2020.zip</v>
      </c>
    </row>
    <row r="875" spans="1:10" x14ac:dyDescent="0.25">
      <c r="A875" t="s">
        <v>35</v>
      </c>
      <c r="B875" t="s">
        <v>560</v>
      </c>
      <c r="C875" t="s">
        <v>564</v>
      </c>
      <c r="D875" s="2">
        <v>745940</v>
      </c>
      <c r="E875" t="s">
        <v>13</v>
      </c>
      <c r="F875">
        <v>38.816699999999997</v>
      </c>
      <c r="G875">
        <v>-76.866699999999994</v>
      </c>
      <c r="H875">
        <v>-5</v>
      </c>
      <c r="I875">
        <v>86</v>
      </c>
      <c r="J875" t="str">
        <f>HYPERLINK("https://climate.onebuilding.org/WMO_Region_4_North_and_Central_America/USA_United_States_of_America/MD_Maryland/USA_MD_Camp.Springs-JB.Andrews.745940_US.Normals.1981-2010.zip")</f>
        <v>https://climate.onebuilding.org/WMO_Region_4_North_and_Central_America/USA_United_States_of_America/MD_Maryland/USA_MD_Camp.Springs-JB.Andrews.745940_US.Normals.1981-2010.zip</v>
      </c>
    </row>
    <row r="876" spans="1:10" x14ac:dyDescent="0.25">
      <c r="A876" t="s">
        <v>35</v>
      </c>
      <c r="B876" t="s">
        <v>560</v>
      </c>
      <c r="C876" t="s">
        <v>564</v>
      </c>
      <c r="D876" s="2">
        <v>745940</v>
      </c>
      <c r="E876" t="s">
        <v>13</v>
      </c>
      <c r="F876">
        <v>38.816699999999997</v>
      </c>
      <c r="G876">
        <v>-76.866699999999994</v>
      </c>
      <c r="H876">
        <v>-5</v>
      </c>
      <c r="I876">
        <v>86</v>
      </c>
      <c r="J876" t="str">
        <f>HYPERLINK("https://climate.onebuilding.org/WMO_Region_4_North_and_Central_America/USA_United_States_of_America/MD_Maryland/USA_MD_Camp.Springs-JB.Andrews.745940_US.Normals.1991-2020.zip")</f>
        <v>https://climate.onebuilding.org/WMO_Region_4_North_and_Central_America/USA_United_States_of_America/MD_Maryland/USA_MD_Camp.Springs-JB.Andrews.745940_US.Normals.1991-2020.zip</v>
      </c>
    </row>
    <row r="877" spans="1:10" x14ac:dyDescent="0.25">
      <c r="A877" t="s">
        <v>35</v>
      </c>
      <c r="B877" t="s">
        <v>560</v>
      </c>
      <c r="C877" t="s">
        <v>564</v>
      </c>
      <c r="D877" s="2">
        <v>745940</v>
      </c>
      <c r="E877" t="s">
        <v>13</v>
      </c>
      <c r="F877">
        <v>38.816699999999997</v>
      </c>
      <c r="G877">
        <v>-76.866699999999994</v>
      </c>
      <c r="H877">
        <v>-5</v>
      </c>
      <c r="I877">
        <v>86</v>
      </c>
      <c r="J877" t="str">
        <f>HYPERLINK("https://climate.onebuilding.org/WMO_Region_4_North_and_Central_America/USA_United_States_of_America/MD_Maryland/USA_MD_Camp.Springs-JB.Andrews.745940_US.Normals.2006-2020.zip")</f>
        <v>https://climate.onebuilding.org/WMO_Region_4_North_and_Central_America/USA_United_States_of_America/MD_Maryland/USA_MD_Camp.Springs-JB.Andrews.745940_US.Normals.2006-2020.zip</v>
      </c>
    </row>
    <row r="878" spans="1:10" x14ac:dyDescent="0.25">
      <c r="A878" t="s">
        <v>35</v>
      </c>
      <c r="B878" t="s">
        <v>560</v>
      </c>
      <c r="C878" t="s">
        <v>565</v>
      </c>
      <c r="D878" s="2">
        <v>724066</v>
      </c>
      <c r="E878" t="s">
        <v>13</v>
      </c>
      <c r="F878">
        <v>39.707799999999999</v>
      </c>
      <c r="G878">
        <v>-77.729699999999994</v>
      </c>
      <c r="H878">
        <v>-5</v>
      </c>
      <c r="I878">
        <v>212.8</v>
      </c>
      <c r="J878" t="str">
        <f>HYPERLINK("https://climate.onebuilding.org/WMO_Region_4_North_and_Central_America/USA_United_States_of_America/MD_Maryland/USA_MD_Hagerstown.Rgnl.AP.724066_US.Normals.2006-2020.zip")</f>
        <v>https://climate.onebuilding.org/WMO_Region_4_North_and_Central_America/USA_United_States_of_America/MD_Maryland/USA_MD_Hagerstown.Rgnl.AP.724066_US.Normals.2006-2020.zip</v>
      </c>
    </row>
    <row r="879" spans="1:10" x14ac:dyDescent="0.25">
      <c r="A879" t="s">
        <v>35</v>
      </c>
      <c r="B879" t="s">
        <v>560</v>
      </c>
      <c r="C879" t="s">
        <v>566</v>
      </c>
      <c r="D879" s="2">
        <v>724040</v>
      </c>
      <c r="E879" t="s">
        <v>13</v>
      </c>
      <c r="F879">
        <v>38.299999999999997</v>
      </c>
      <c r="G879">
        <v>-76.416700000000006</v>
      </c>
      <c r="H879">
        <v>-5</v>
      </c>
      <c r="I879">
        <v>11.9</v>
      </c>
      <c r="J879" t="str">
        <f>HYPERLINK("https://climate.onebuilding.org/WMO_Region_4_North_and_Central_America/USA_United_States_of_America/MD_Maryland/USA_MD_NAS.Patuxent.River-Trapnell.Field.724040_US.Normals.1981-2010.zip")</f>
        <v>https://climate.onebuilding.org/WMO_Region_4_North_and_Central_America/USA_United_States_of_America/MD_Maryland/USA_MD_NAS.Patuxent.River-Trapnell.Field.724040_US.Normals.1981-2010.zip</v>
      </c>
    </row>
    <row r="880" spans="1:10" x14ac:dyDescent="0.25">
      <c r="A880" t="s">
        <v>35</v>
      </c>
      <c r="B880" t="s">
        <v>560</v>
      </c>
      <c r="C880" t="s">
        <v>566</v>
      </c>
      <c r="D880" s="2">
        <v>724040</v>
      </c>
      <c r="E880" t="s">
        <v>13</v>
      </c>
      <c r="F880">
        <v>38.299999999999997</v>
      </c>
      <c r="G880">
        <v>-76.416700000000006</v>
      </c>
      <c r="H880">
        <v>-5</v>
      </c>
      <c r="I880">
        <v>11.9</v>
      </c>
      <c r="J880" t="str">
        <f>HYPERLINK("https://climate.onebuilding.org/WMO_Region_4_North_and_Central_America/USA_United_States_of_America/MD_Maryland/USA_MD_NAS.Patuxent.River-Trapnell.Field.724040_US.Normals.1991-2020.zip")</f>
        <v>https://climate.onebuilding.org/WMO_Region_4_North_and_Central_America/USA_United_States_of_America/MD_Maryland/USA_MD_NAS.Patuxent.River-Trapnell.Field.724040_US.Normals.1991-2020.zip</v>
      </c>
    </row>
    <row r="881" spans="1:10" x14ac:dyDescent="0.25">
      <c r="A881" t="s">
        <v>35</v>
      </c>
      <c r="B881" t="s">
        <v>560</v>
      </c>
      <c r="C881" t="s">
        <v>566</v>
      </c>
      <c r="D881" s="2">
        <v>724040</v>
      </c>
      <c r="E881" t="s">
        <v>13</v>
      </c>
      <c r="F881">
        <v>38.299999999999997</v>
      </c>
      <c r="G881">
        <v>-76.416700000000006</v>
      </c>
      <c r="H881">
        <v>-5</v>
      </c>
      <c r="I881">
        <v>11.9</v>
      </c>
      <c r="J881" t="str">
        <f>HYPERLINK("https://climate.onebuilding.org/WMO_Region_4_North_and_Central_America/USA_United_States_of_America/MD_Maryland/USA_MD_NAS.Patuxent.River-Trapnell.Field.724040_US.Normals.2006-2020.zip")</f>
        <v>https://climate.onebuilding.org/WMO_Region_4_North_and_Central_America/USA_United_States_of_America/MD_Maryland/USA_MD_NAS.Patuxent.River-Trapnell.Field.724040_US.Normals.2006-2020.zip</v>
      </c>
    </row>
    <row r="882" spans="1:10" x14ac:dyDescent="0.25">
      <c r="A882" t="s">
        <v>35</v>
      </c>
      <c r="B882" t="s">
        <v>560</v>
      </c>
      <c r="C882" t="s">
        <v>567</v>
      </c>
      <c r="D882" s="2">
        <v>725514</v>
      </c>
      <c r="E882" t="s">
        <v>13</v>
      </c>
      <c r="F882">
        <v>38.1417</v>
      </c>
      <c r="G882">
        <v>-76.429199999999994</v>
      </c>
      <c r="H882">
        <v>-5</v>
      </c>
      <c r="I882">
        <v>6.4</v>
      </c>
      <c r="J882" t="str">
        <f>HYPERLINK("https://climate.onebuilding.org/WMO_Region_4_North_and_Central_America/USA_United_States_of_America/MD_Maryland/USA_MD_NOLF.Webster.725514_US.Normals.2006-2020.zip")</f>
        <v>https://climate.onebuilding.org/WMO_Region_4_North_and_Central_America/USA_United_States_of_America/MD_Maryland/USA_MD_NOLF.Webster.725514_US.Normals.2006-2020.zip</v>
      </c>
    </row>
    <row r="883" spans="1:10" x14ac:dyDescent="0.25">
      <c r="A883" t="s">
        <v>35</v>
      </c>
      <c r="B883" t="s">
        <v>560</v>
      </c>
      <c r="C883" t="s">
        <v>568</v>
      </c>
      <c r="D883" s="2">
        <v>745946</v>
      </c>
      <c r="E883" t="s">
        <v>13</v>
      </c>
      <c r="F883">
        <v>38.308300000000003</v>
      </c>
      <c r="G883">
        <v>-75.123900000000006</v>
      </c>
      <c r="H883">
        <v>-5</v>
      </c>
      <c r="I883">
        <v>3.7</v>
      </c>
      <c r="J883" t="str">
        <f>HYPERLINK("https://climate.onebuilding.org/WMO_Region_4_North_and_Central_America/USA_United_States_of_America/MD_Maryland/USA_MD_Ocean.City.Muni.AP.745946_US.Normals.2006-2020.zip")</f>
        <v>https://climate.onebuilding.org/WMO_Region_4_North_and_Central_America/USA_United_States_of_America/MD_Maryland/USA_MD_Ocean.City.Muni.AP.745946_US.Normals.2006-2020.zip</v>
      </c>
    </row>
    <row r="884" spans="1:10" x14ac:dyDescent="0.25">
      <c r="A884" t="s">
        <v>35</v>
      </c>
      <c r="B884" t="s">
        <v>560</v>
      </c>
      <c r="C884" t="s">
        <v>569</v>
      </c>
      <c r="D884" s="2">
        <v>723980</v>
      </c>
      <c r="E884" t="s">
        <v>13</v>
      </c>
      <c r="F884">
        <v>38.340600000000002</v>
      </c>
      <c r="G884">
        <v>-75.510300000000001</v>
      </c>
      <c r="H884">
        <v>-5</v>
      </c>
      <c r="I884">
        <v>14.6</v>
      </c>
      <c r="J884" t="str">
        <f>HYPERLINK("https://climate.onebuilding.org/WMO_Region_4_North_and_Central_America/USA_United_States_of_America/MD_Maryland/USA_MD_Salisbury-Ocean.City-Wicomico.Rgnl.AP.723980_US.Normals.1981-2010.zip")</f>
        <v>https://climate.onebuilding.org/WMO_Region_4_North_and_Central_America/USA_United_States_of_America/MD_Maryland/USA_MD_Salisbury-Ocean.City-Wicomico.Rgnl.AP.723980_US.Normals.1981-2010.zip</v>
      </c>
    </row>
    <row r="885" spans="1:10" x14ac:dyDescent="0.25">
      <c r="A885" t="s">
        <v>35</v>
      </c>
      <c r="B885" t="s">
        <v>560</v>
      </c>
      <c r="C885" t="s">
        <v>569</v>
      </c>
      <c r="D885" s="2">
        <v>723980</v>
      </c>
      <c r="E885" t="s">
        <v>13</v>
      </c>
      <c r="F885">
        <v>38.340600000000002</v>
      </c>
      <c r="G885">
        <v>-75.510300000000001</v>
      </c>
      <c r="H885">
        <v>-5</v>
      </c>
      <c r="I885">
        <v>14.6</v>
      </c>
      <c r="J885" t="str">
        <f>HYPERLINK("https://climate.onebuilding.org/WMO_Region_4_North_and_Central_America/USA_United_States_of_America/MD_Maryland/USA_MD_Salisbury-Ocean.City-Wicomico.Rgnl.AP.723980_US.Normals.2006-2020.zip")</f>
        <v>https://climate.onebuilding.org/WMO_Region_4_North_and_Central_America/USA_United_States_of_America/MD_Maryland/USA_MD_Salisbury-Ocean.City-Wicomico.Rgnl.AP.723980_US.Normals.2006-2020.zip</v>
      </c>
    </row>
    <row r="886" spans="1:10" x14ac:dyDescent="0.25">
      <c r="A886" t="s">
        <v>35</v>
      </c>
      <c r="B886" t="s">
        <v>570</v>
      </c>
      <c r="C886" t="s">
        <v>571</v>
      </c>
      <c r="D886" s="2">
        <v>727100</v>
      </c>
      <c r="E886" t="s">
        <v>13</v>
      </c>
      <c r="F886">
        <v>46.96</v>
      </c>
      <c r="G886">
        <v>-67.883300000000006</v>
      </c>
      <c r="H886">
        <v>-5</v>
      </c>
      <c r="I886">
        <v>224.6</v>
      </c>
      <c r="J886" t="str">
        <f>HYPERLINK("https://climate.onebuilding.org/WMO_Region_4_North_and_Central_America/USA_United_States_of_America/ME_Maine/USA_ME_Aroostook.Natl.Wildlife.Refuge-Fire.Training.Center.727100_US.Normals.2006-2020.zip")</f>
        <v>https://climate.onebuilding.org/WMO_Region_4_North_and_Central_America/USA_United_States_of_America/ME_Maine/USA_ME_Aroostook.Natl.Wildlife.Refuge-Fire.Training.Center.727100_US.Normals.2006-2020.zip</v>
      </c>
    </row>
    <row r="887" spans="1:10" x14ac:dyDescent="0.25">
      <c r="A887" t="s">
        <v>35</v>
      </c>
      <c r="B887" t="s">
        <v>570</v>
      </c>
      <c r="C887" t="s">
        <v>572</v>
      </c>
      <c r="D887" s="2">
        <v>726185</v>
      </c>
      <c r="E887" t="s">
        <v>13</v>
      </c>
      <c r="F887">
        <v>44.320599999999999</v>
      </c>
      <c r="G887">
        <v>-69.797200000000004</v>
      </c>
      <c r="H887">
        <v>-5</v>
      </c>
      <c r="I887">
        <v>106.7</v>
      </c>
      <c r="J887" t="str">
        <f>HYPERLINK("https://climate.onebuilding.org/WMO_Region_4_North_and_Central_America/USA_United_States_of_America/ME_Maine/USA_ME_Augusta.State.AP.726185_US.Normals.1981-2010.zip")</f>
        <v>https://climate.onebuilding.org/WMO_Region_4_North_and_Central_America/USA_United_States_of_America/ME_Maine/USA_ME_Augusta.State.AP.726185_US.Normals.1981-2010.zip</v>
      </c>
    </row>
    <row r="888" spans="1:10" x14ac:dyDescent="0.25">
      <c r="A888" t="s">
        <v>35</v>
      </c>
      <c r="B888" t="s">
        <v>570</v>
      </c>
      <c r="C888" t="s">
        <v>572</v>
      </c>
      <c r="D888" s="2">
        <v>726185</v>
      </c>
      <c r="E888" t="s">
        <v>13</v>
      </c>
      <c r="F888">
        <v>44.320599999999999</v>
      </c>
      <c r="G888">
        <v>-69.797200000000004</v>
      </c>
      <c r="H888">
        <v>-5</v>
      </c>
      <c r="I888">
        <v>106.7</v>
      </c>
      <c r="J888" t="str">
        <f>HYPERLINK("https://climate.onebuilding.org/WMO_Region_4_North_and_Central_America/USA_United_States_of_America/ME_Maine/USA_ME_Augusta.State.AP.726185_US.Normals.1991-2020.zip")</f>
        <v>https://climate.onebuilding.org/WMO_Region_4_North_and_Central_America/USA_United_States_of_America/ME_Maine/USA_ME_Augusta.State.AP.726185_US.Normals.1991-2020.zip</v>
      </c>
    </row>
    <row r="889" spans="1:10" x14ac:dyDescent="0.25">
      <c r="A889" t="s">
        <v>35</v>
      </c>
      <c r="B889" t="s">
        <v>570</v>
      </c>
      <c r="C889" t="s">
        <v>572</v>
      </c>
      <c r="D889" s="2">
        <v>726185</v>
      </c>
      <c r="E889" t="s">
        <v>13</v>
      </c>
      <c r="F889">
        <v>44.320599999999999</v>
      </c>
      <c r="G889">
        <v>-69.797200000000004</v>
      </c>
      <c r="H889">
        <v>-5</v>
      </c>
      <c r="I889">
        <v>106.7</v>
      </c>
      <c r="J889" t="str">
        <f>HYPERLINK("https://climate.onebuilding.org/WMO_Region_4_North_and_Central_America/USA_United_States_of_America/ME_Maine/USA_ME_Augusta.State.AP.726185_US.Normals.2006-2020.zip")</f>
        <v>https://climate.onebuilding.org/WMO_Region_4_North_and_Central_America/USA_United_States_of_America/ME_Maine/USA_ME_Augusta.State.AP.726185_US.Normals.2006-2020.zip</v>
      </c>
    </row>
    <row r="890" spans="1:10" x14ac:dyDescent="0.25">
      <c r="A890" t="s">
        <v>35</v>
      </c>
      <c r="B890" t="s">
        <v>570</v>
      </c>
      <c r="C890" t="s">
        <v>573</v>
      </c>
      <c r="D890" s="2">
        <v>726070</v>
      </c>
      <c r="E890" t="s">
        <v>13</v>
      </c>
      <c r="F890">
        <v>44.797800000000002</v>
      </c>
      <c r="G890">
        <v>-68.818600000000004</v>
      </c>
      <c r="H890">
        <v>-5</v>
      </c>
      <c r="I890">
        <v>45.1</v>
      </c>
      <c r="J890" t="str">
        <f>HYPERLINK("https://climate.onebuilding.org/WMO_Region_4_North_and_Central_America/USA_United_States_of_America/ME_Maine/USA_ME_Bangor.Intl.AP.726070_US.Normals.1981-2010.zip")</f>
        <v>https://climate.onebuilding.org/WMO_Region_4_North_and_Central_America/USA_United_States_of_America/ME_Maine/USA_ME_Bangor.Intl.AP.726070_US.Normals.1981-2010.zip</v>
      </c>
    </row>
    <row r="891" spans="1:10" x14ac:dyDescent="0.25">
      <c r="A891" t="s">
        <v>35</v>
      </c>
      <c r="B891" t="s">
        <v>570</v>
      </c>
      <c r="C891" t="s">
        <v>573</v>
      </c>
      <c r="D891" s="2">
        <v>726070</v>
      </c>
      <c r="E891" t="s">
        <v>13</v>
      </c>
      <c r="F891">
        <v>44.797800000000002</v>
      </c>
      <c r="G891">
        <v>-68.818600000000004</v>
      </c>
      <c r="H891">
        <v>-5</v>
      </c>
      <c r="I891">
        <v>45.1</v>
      </c>
      <c r="J891" t="str">
        <f>HYPERLINK("https://climate.onebuilding.org/WMO_Region_4_North_and_Central_America/USA_United_States_of_America/ME_Maine/USA_ME_Bangor.Intl.AP.726070_US.Normals.2006-2020.zip")</f>
        <v>https://climate.onebuilding.org/WMO_Region_4_North_and_Central_America/USA_United_States_of_America/ME_Maine/USA_ME_Bangor.Intl.AP.726070_US.Normals.2006-2020.zip</v>
      </c>
    </row>
    <row r="892" spans="1:10" x14ac:dyDescent="0.25">
      <c r="A892" t="s">
        <v>35</v>
      </c>
      <c r="B892" t="s">
        <v>570</v>
      </c>
      <c r="C892" t="s">
        <v>574</v>
      </c>
      <c r="D892" s="2">
        <v>727120</v>
      </c>
      <c r="E892" t="s">
        <v>13</v>
      </c>
      <c r="F892">
        <v>46.870600000000003</v>
      </c>
      <c r="G892">
        <v>-68.017200000000003</v>
      </c>
      <c r="H892">
        <v>-5</v>
      </c>
      <c r="I892">
        <v>190.2</v>
      </c>
      <c r="J892" t="str">
        <f>HYPERLINK("https://climate.onebuilding.org/WMO_Region_4_North_and_Central_America/USA_United_States_of_America/ME_Maine/USA_ME_Caribou.Muni.AP.727120_US.Normals.1991-2020.zip")</f>
        <v>https://climate.onebuilding.org/WMO_Region_4_North_and_Central_America/USA_United_States_of_America/ME_Maine/USA_ME_Caribou.Muni.AP.727120_US.Normals.1991-2020.zip</v>
      </c>
    </row>
    <row r="893" spans="1:10" x14ac:dyDescent="0.25">
      <c r="A893" t="s">
        <v>35</v>
      </c>
      <c r="B893" t="s">
        <v>570</v>
      </c>
      <c r="C893" t="s">
        <v>574</v>
      </c>
      <c r="D893" s="2">
        <v>727120</v>
      </c>
      <c r="E893" t="s">
        <v>13</v>
      </c>
      <c r="F893">
        <v>46.870600000000003</v>
      </c>
      <c r="G893">
        <v>-68.017200000000003</v>
      </c>
      <c r="H893">
        <v>-5</v>
      </c>
      <c r="I893">
        <v>190.2</v>
      </c>
      <c r="J893" t="str">
        <f>HYPERLINK("https://climate.onebuilding.org/WMO_Region_4_North_and_Central_America/USA_United_States_of_America/ME_Maine/USA_ME_Caribou.Muni.AP.727120_US.Normals.2006-2020.zip")</f>
        <v>https://climate.onebuilding.org/WMO_Region_4_North_and_Central_America/USA_United_States_of_America/ME_Maine/USA_ME_Caribou.Muni.AP.727120_US.Normals.2006-2020.zip</v>
      </c>
    </row>
    <row r="894" spans="1:10" x14ac:dyDescent="0.25">
      <c r="A894" t="s">
        <v>35</v>
      </c>
      <c r="B894" t="s">
        <v>570</v>
      </c>
      <c r="C894" t="s">
        <v>575</v>
      </c>
      <c r="D894" s="2">
        <v>726083</v>
      </c>
      <c r="E894" t="s">
        <v>13</v>
      </c>
      <c r="F894">
        <v>47.285600000000002</v>
      </c>
      <c r="G894">
        <v>-68.313299999999998</v>
      </c>
      <c r="H894">
        <v>-5</v>
      </c>
      <c r="I894">
        <v>301.10000000000002</v>
      </c>
      <c r="J894" t="str">
        <f>HYPERLINK("https://climate.onebuilding.org/WMO_Region_4_North_and_Central_America/USA_United_States_of_America/ME_Maine/USA_ME_Frenchville-Northern.Aroostook.Rgnl.AP.726083_US.Normals.2006-2020.zip")</f>
        <v>https://climate.onebuilding.org/WMO_Region_4_North_and_Central_America/USA_United_States_of_America/ME_Maine/USA_ME_Frenchville-Northern.Aroostook.Rgnl.AP.726083_US.Normals.2006-2020.zip</v>
      </c>
    </row>
    <row r="895" spans="1:10" x14ac:dyDescent="0.25">
      <c r="A895" t="s">
        <v>35</v>
      </c>
      <c r="B895" t="s">
        <v>570</v>
      </c>
      <c r="C895" t="s">
        <v>576</v>
      </c>
      <c r="D895" s="2">
        <v>726183</v>
      </c>
      <c r="E895" t="s">
        <v>13</v>
      </c>
      <c r="F895">
        <v>43.990600000000001</v>
      </c>
      <c r="G895">
        <v>-70.947500000000005</v>
      </c>
      <c r="H895">
        <v>-5</v>
      </c>
      <c r="I895">
        <v>135.6</v>
      </c>
      <c r="J895" t="str">
        <f>HYPERLINK("https://climate.onebuilding.org/WMO_Region_4_North_and_Central_America/USA_United_States_of_America/ME_Maine/USA_ME_Fryeburg-Eastern.Slopes.Rgnl.AP.726183_US.Normals.2006-2020.zip")</f>
        <v>https://climate.onebuilding.org/WMO_Region_4_North_and_Central_America/USA_United_States_of_America/ME_Maine/USA_ME_Fryeburg-Eastern.Slopes.Rgnl.AP.726183_US.Normals.2006-2020.zip</v>
      </c>
    </row>
    <row r="896" spans="1:10" x14ac:dyDescent="0.25">
      <c r="A896" t="s">
        <v>35</v>
      </c>
      <c r="B896" t="s">
        <v>570</v>
      </c>
      <c r="C896" t="s">
        <v>577</v>
      </c>
      <c r="D896" s="2">
        <v>726190</v>
      </c>
      <c r="E896" t="s">
        <v>13</v>
      </c>
      <c r="F896">
        <v>45.462200000000003</v>
      </c>
      <c r="G896">
        <v>-69.595299999999995</v>
      </c>
      <c r="H896">
        <v>-5</v>
      </c>
      <c r="I896">
        <v>316.10000000000002</v>
      </c>
      <c r="J896" t="str">
        <f>HYPERLINK("https://climate.onebuilding.org/WMO_Region_4_North_and_Central_America/USA_United_States_of_America/ME_Maine/USA_ME_Greenville.AMOS.726190_US.Normals.2006-2020.zip")</f>
        <v>https://climate.onebuilding.org/WMO_Region_4_North_and_Central_America/USA_United_States_of_America/ME_Maine/USA_ME_Greenville.AMOS.726190_US.Normals.2006-2020.zip</v>
      </c>
    </row>
    <row r="897" spans="1:10" x14ac:dyDescent="0.25">
      <c r="A897" t="s">
        <v>35</v>
      </c>
      <c r="B897" t="s">
        <v>570</v>
      </c>
      <c r="C897" t="s">
        <v>578</v>
      </c>
      <c r="D897" s="2">
        <v>727033</v>
      </c>
      <c r="E897" t="s">
        <v>13</v>
      </c>
      <c r="F897">
        <v>46.123600000000003</v>
      </c>
      <c r="G897">
        <v>-67.7928</v>
      </c>
      <c r="H897">
        <v>-5</v>
      </c>
      <c r="I897">
        <v>145.1</v>
      </c>
      <c r="J897" t="str">
        <f>HYPERLINK("https://climate.onebuilding.org/WMO_Region_4_North_and_Central_America/USA_United_States_of_America/ME_Maine/USA_ME_Houlton.Intl.AP.727033_US.Normals.1991-2020.zip")</f>
        <v>https://climate.onebuilding.org/WMO_Region_4_North_and_Central_America/USA_United_States_of_America/ME_Maine/USA_ME_Houlton.Intl.AP.727033_US.Normals.1991-2020.zip</v>
      </c>
    </row>
    <row r="898" spans="1:10" x14ac:dyDescent="0.25">
      <c r="A898" t="s">
        <v>35</v>
      </c>
      <c r="B898" t="s">
        <v>570</v>
      </c>
      <c r="C898" t="s">
        <v>578</v>
      </c>
      <c r="D898" s="2">
        <v>727033</v>
      </c>
      <c r="E898" t="s">
        <v>13</v>
      </c>
      <c r="F898">
        <v>46.123600000000003</v>
      </c>
      <c r="G898">
        <v>-67.7928</v>
      </c>
      <c r="H898">
        <v>-5</v>
      </c>
      <c r="I898">
        <v>145.1</v>
      </c>
      <c r="J898" t="str">
        <f>HYPERLINK("https://climate.onebuilding.org/WMO_Region_4_North_and_Central_America/USA_United_States_of_America/ME_Maine/USA_ME_Houlton.Intl.AP.727033_US.Normals.2006-2020.zip")</f>
        <v>https://climate.onebuilding.org/WMO_Region_4_North_and_Central_America/USA_United_States_of_America/ME_Maine/USA_ME_Houlton.Intl.AP.727033_US.Normals.2006-2020.zip</v>
      </c>
    </row>
    <row r="899" spans="1:10" x14ac:dyDescent="0.25">
      <c r="A899" t="s">
        <v>35</v>
      </c>
      <c r="B899" t="s">
        <v>570</v>
      </c>
      <c r="C899" t="s">
        <v>579</v>
      </c>
      <c r="D899" s="2">
        <v>726196</v>
      </c>
      <c r="E899" t="s">
        <v>13</v>
      </c>
      <c r="F899">
        <v>45.647799999999997</v>
      </c>
      <c r="G899">
        <v>-68.692499999999995</v>
      </c>
      <c r="H899">
        <v>-5</v>
      </c>
      <c r="I899">
        <v>123.7</v>
      </c>
      <c r="J899" t="str">
        <f>HYPERLINK("https://climate.onebuilding.org/WMO_Region_4_North_and_Central_America/USA_United_States_of_America/ME_Maine/USA_ME_Millinocket.Muni.AP.726196_US.Normals.2006-2020.zip")</f>
        <v>https://climate.onebuilding.org/WMO_Region_4_North_and_Central_America/USA_United_States_of_America/ME_Maine/USA_ME_Millinocket.Muni.AP.726196_US.Normals.2006-2020.zip</v>
      </c>
    </row>
    <row r="900" spans="1:10" x14ac:dyDescent="0.25">
      <c r="A900" t="s">
        <v>35</v>
      </c>
      <c r="B900" t="s">
        <v>570</v>
      </c>
      <c r="C900" t="s">
        <v>580</v>
      </c>
      <c r="D900" s="2">
        <v>726060</v>
      </c>
      <c r="E900" t="s">
        <v>13</v>
      </c>
      <c r="F900">
        <v>43.649700000000003</v>
      </c>
      <c r="G900">
        <v>-70.300299999999993</v>
      </c>
      <c r="H900">
        <v>-5</v>
      </c>
      <c r="I900">
        <v>13.7</v>
      </c>
      <c r="J900" t="str">
        <f>HYPERLINK("https://climate.onebuilding.org/WMO_Region_4_North_and_Central_America/USA_United_States_of_America/ME_Maine/USA_ME_Portland.Intl.Jetport.726060_US.Normals.1981-2010.zip")</f>
        <v>https://climate.onebuilding.org/WMO_Region_4_North_and_Central_America/USA_United_States_of_America/ME_Maine/USA_ME_Portland.Intl.Jetport.726060_US.Normals.1981-2010.zip</v>
      </c>
    </row>
    <row r="901" spans="1:10" x14ac:dyDescent="0.25">
      <c r="A901" t="s">
        <v>35</v>
      </c>
      <c r="B901" t="s">
        <v>570</v>
      </c>
      <c r="C901" t="s">
        <v>580</v>
      </c>
      <c r="D901" s="2">
        <v>726060</v>
      </c>
      <c r="E901" t="s">
        <v>13</v>
      </c>
      <c r="F901">
        <v>43.649700000000003</v>
      </c>
      <c r="G901">
        <v>-70.300299999999993</v>
      </c>
      <c r="H901">
        <v>-5</v>
      </c>
      <c r="I901">
        <v>13.7</v>
      </c>
      <c r="J901" t="str">
        <f>HYPERLINK("https://climate.onebuilding.org/WMO_Region_4_North_and_Central_America/USA_United_States_of_America/ME_Maine/USA_ME_Portland.Intl.Jetport.726060_US.Normals.1991-2020.zip")</f>
        <v>https://climate.onebuilding.org/WMO_Region_4_North_and_Central_America/USA_United_States_of_America/ME_Maine/USA_ME_Portland.Intl.Jetport.726060_US.Normals.1991-2020.zip</v>
      </c>
    </row>
    <row r="902" spans="1:10" x14ac:dyDescent="0.25">
      <c r="A902" t="s">
        <v>35</v>
      </c>
      <c r="B902" t="s">
        <v>570</v>
      </c>
      <c r="C902" t="s">
        <v>580</v>
      </c>
      <c r="D902" s="2">
        <v>726060</v>
      </c>
      <c r="E902" t="s">
        <v>13</v>
      </c>
      <c r="F902">
        <v>43.649700000000003</v>
      </c>
      <c r="G902">
        <v>-70.300299999999993</v>
      </c>
      <c r="H902">
        <v>-5</v>
      </c>
      <c r="I902">
        <v>13.7</v>
      </c>
      <c r="J902" t="str">
        <f>HYPERLINK("https://climate.onebuilding.org/WMO_Region_4_North_and_Central_America/USA_United_States_of_America/ME_Maine/USA_ME_Portland.Intl.Jetport.726060_US.Normals.2006-2020.zip")</f>
        <v>https://climate.onebuilding.org/WMO_Region_4_North_and_Central_America/USA_United_States_of_America/ME_Maine/USA_ME_Portland.Intl.Jetport.726060_US.Normals.2006-2020.zip</v>
      </c>
    </row>
    <row r="903" spans="1:10" x14ac:dyDescent="0.25">
      <c r="A903" t="s">
        <v>35</v>
      </c>
      <c r="B903" t="s">
        <v>570</v>
      </c>
      <c r="C903" t="s">
        <v>581</v>
      </c>
      <c r="D903" s="2">
        <v>727130</v>
      </c>
      <c r="E903" t="s">
        <v>13</v>
      </c>
      <c r="F903">
        <v>46.683300000000003</v>
      </c>
      <c r="G903">
        <v>-68.05</v>
      </c>
      <c r="H903">
        <v>-5</v>
      </c>
      <c r="I903">
        <v>1480.1</v>
      </c>
      <c r="J903" t="str">
        <f>HYPERLINK("https://climate.onebuilding.org/WMO_Region_4_North_and_Central_America/USA_United_States_of_America/ME_Maine/USA_ME_Presque.Isle.Intl.AP.727130_US.Normals.2006-2020.zip")</f>
        <v>https://climate.onebuilding.org/WMO_Region_4_North_and_Central_America/USA_United_States_of_America/ME_Maine/USA_ME_Presque.Isle.Intl.AP.727130_US.Normals.2006-2020.zip</v>
      </c>
    </row>
    <row r="904" spans="1:10" x14ac:dyDescent="0.25">
      <c r="A904" t="s">
        <v>35</v>
      </c>
      <c r="B904" t="s">
        <v>570</v>
      </c>
      <c r="C904" t="s">
        <v>582</v>
      </c>
      <c r="D904" s="2">
        <v>727140</v>
      </c>
      <c r="E904" t="s">
        <v>13</v>
      </c>
      <c r="F904">
        <v>44.928100000000001</v>
      </c>
      <c r="G904">
        <v>-68.700599999999994</v>
      </c>
      <c r="H904">
        <v>-5</v>
      </c>
      <c r="I904">
        <v>38.700000000000003</v>
      </c>
      <c r="J904" t="str">
        <f>HYPERLINK("https://climate.onebuilding.org/WMO_Region_4_North_and_Central_America/USA_United_States_of_America/ME_Maine/USA_ME_Univ.Maine.Rogers.Farm.727140_US.Normals.2006-2020.zip")</f>
        <v>https://climate.onebuilding.org/WMO_Region_4_North_and_Central_America/USA_United_States_of_America/ME_Maine/USA_ME_Univ.Maine.Rogers.Farm.727140_US.Normals.2006-2020.zip</v>
      </c>
    </row>
    <row r="905" spans="1:10" x14ac:dyDescent="0.25">
      <c r="A905" t="s">
        <v>35</v>
      </c>
      <c r="B905" t="s">
        <v>570</v>
      </c>
      <c r="C905" t="s">
        <v>583</v>
      </c>
      <c r="D905" s="2">
        <v>727135</v>
      </c>
      <c r="E905" t="s">
        <v>13</v>
      </c>
      <c r="F905">
        <v>43.9636</v>
      </c>
      <c r="G905">
        <v>-69.711699999999993</v>
      </c>
      <c r="H905">
        <v>-5</v>
      </c>
      <c r="I905">
        <v>20.7</v>
      </c>
      <c r="J905" t="str">
        <f>HYPERLINK("https://climate.onebuilding.org/WMO_Region_4_North_and_Central_America/USA_United_States_of_America/ME_Maine/USA_ME_Wiscasset.AP.727135_US.Normals.2006-2020.zip")</f>
        <v>https://climate.onebuilding.org/WMO_Region_4_North_and_Central_America/USA_United_States_of_America/ME_Maine/USA_ME_Wiscasset.AP.727135_US.Normals.2006-2020.zip</v>
      </c>
    </row>
    <row r="906" spans="1:10" x14ac:dyDescent="0.25">
      <c r="A906" t="s">
        <v>35</v>
      </c>
      <c r="B906" t="s">
        <v>584</v>
      </c>
      <c r="C906" t="s">
        <v>585</v>
      </c>
      <c r="D906" s="2">
        <v>725404</v>
      </c>
      <c r="E906" t="s">
        <v>13</v>
      </c>
      <c r="F906">
        <v>41.867800000000003</v>
      </c>
      <c r="G906">
        <v>-84.079400000000007</v>
      </c>
      <c r="H906">
        <v>-6</v>
      </c>
      <c r="I906">
        <v>242.6</v>
      </c>
      <c r="J906" t="str">
        <f>HYPERLINK("https://climate.onebuilding.org/WMO_Region_4_North_and_Central_America/USA_United_States_of_America/MI_Michigan/USA_MI_Adrian-Lenawee.County.AP.725404_US.Normals.2006-2020.zip")</f>
        <v>https://climate.onebuilding.org/WMO_Region_4_North_and_Central_America/USA_United_States_of_America/MI_Michigan/USA_MI_Adrian-Lenawee.County.AP.725404_US.Normals.2006-2020.zip</v>
      </c>
    </row>
    <row r="907" spans="1:10" x14ac:dyDescent="0.25">
      <c r="A907" t="s">
        <v>35</v>
      </c>
      <c r="B907" t="s">
        <v>584</v>
      </c>
      <c r="C907" t="s">
        <v>586</v>
      </c>
      <c r="D907" s="2">
        <v>726390</v>
      </c>
      <c r="E907" t="s">
        <v>13</v>
      </c>
      <c r="F907">
        <v>45.0717</v>
      </c>
      <c r="G907">
        <v>-83.564400000000006</v>
      </c>
      <c r="H907">
        <v>-6</v>
      </c>
      <c r="I907">
        <v>208.5</v>
      </c>
      <c r="J907" t="str">
        <f>HYPERLINK("https://climate.onebuilding.org/WMO_Region_4_North_and_Central_America/USA_United_States_of_America/MI_Michigan/USA_MI_Alpena-Alpena.County.Rgnl.AP-Collins.Field.726390_US.Normals.1981-2010.zip")</f>
        <v>https://climate.onebuilding.org/WMO_Region_4_North_and_Central_America/USA_United_States_of_America/MI_Michigan/USA_MI_Alpena-Alpena.County.Rgnl.AP-Collins.Field.726390_US.Normals.1981-2010.zip</v>
      </c>
    </row>
    <row r="908" spans="1:10" x14ac:dyDescent="0.25">
      <c r="A908" t="s">
        <v>35</v>
      </c>
      <c r="B908" t="s">
        <v>584</v>
      </c>
      <c r="C908" t="s">
        <v>586</v>
      </c>
      <c r="D908" s="2">
        <v>726390</v>
      </c>
      <c r="E908" t="s">
        <v>13</v>
      </c>
      <c r="F908">
        <v>45.0717</v>
      </c>
      <c r="G908">
        <v>-83.564400000000006</v>
      </c>
      <c r="H908">
        <v>-6</v>
      </c>
      <c r="I908">
        <v>208.5</v>
      </c>
      <c r="J908" t="str">
        <f>HYPERLINK("https://climate.onebuilding.org/WMO_Region_4_North_and_Central_America/USA_United_States_of_America/MI_Michigan/USA_MI_Alpena-Alpena.County.Rgnl.AP-Collins.Field.726390_US.Normals.1991-2020.zip")</f>
        <v>https://climate.onebuilding.org/WMO_Region_4_North_and_Central_America/USA_United_States_of_America/MI_Michigan/USA_MI_Alpena-Alpena.County.Rgnl.AP-Collins.Field.726390_US.Normals.1991-2020.zip</v>
      </c>
    </row>
    <row r="909" spans="1:10" x14ac:dyDescent="0.25">
      <c r="A909" t="s">
        <v>35</v>
      </c>
      <c r="B909" t="s">
        <v>584</v>
      </c>
      <c r="C909" t="s">
        <v>586</v>
      </c>
      <c r="D909" s="2">
        <v>726390</v>
      </c>
      <c r="E909" t="s">
        <v>13</v>
      </c>
      <c r="F909">
        <v>45.0717</v>
      </c>
      <c r="G909">
        <v>-83.564400000000006</v>
      </c>
      <c r="H909">
        <v>-6</v>
      </c>
      <c r="I909">
        <v>208.5</v>
      </c>
      <c r="J909" t="str">
        <f>HYPERLINK("https://climate.onebuilding.org/WMO_Region_4_North_and_Central_America/USA_United_States_of_America/MI_Michigan/USA_MI_Alpena-Alpena.County.Rgnl.AP-Collins.Field.726390_US.Normals.2006-2020.zip")</f>
        <v>https://climate.onebuilding.org/WMO_Region_4_North_and_Central_America/USA_United_States_of_America/MI_Michigan/USA_MI_Alpena-Alpena.County.Rgnl.AP-Collins.Field.726390_US.Normals.2006-2020.zip</v>
      </c>
    </row>
    <row r="910" spans="1:10" x14ac:dyDescent="0.25">
      <c r="A910" t="s">
        <v>35</v>
      </c>
      <c r="B910" t="s">
        <v>584</v>
      </c>
      <c r="C910" t="s">
        <v>587</v>
      </c>
      <c r="D910" s="2">
        <v>725374</v>
      </c>
      <c r="E910" t="s">
        <v>13</v>
      </c>
      <c r="F910">
        <v>42.222799999999999</v>
      </c>
      <c r="G910">
        <v>-83.744399999999999</v>
      </c>
      <c r="H910">
        <v>-6</v>
      </c>
      <c r="I910">
        <v>255.7</v>
      </c>
      <c r="J910" t="str">
        <f>HYPERLINK("https://climate.onebuilding.org/WMO_Region_4_North_and_Central_America/USA_United_States_of_America/MI_Michigan/USA_MI_Ann.Arbor.Muni.AP.725374_US.Normals.2006-2020.zip")</f>
        <v>https://climate.onebuilding.org/WMO_Region_4_North_and_Central_America/USA_United_States_of_America/MI_Michigan/USA_MI_Ann.Arbor.Muni.AP.725374_US.Normals.2006-2020.zip</v>
      </c>
    </row>
    <row r="911" spans="1:10" x14ac:dyDescent="0.25">
      <c r="A911" t="s">
        <v>35</v>
      </c>
      <c r="B911" t="s">
        <v>584</v>
      </c>
      <c r="C911" t="s">
        <v>588</v>
      </c>
      <c r="D911" s="2">
        <v>725396</v>
      </c>
      <c r="E911" t="s">
        <v>13</v>
      </c>
      <c r="F911">
        <v>42.307499999999997</v>
      </c>
      <c r="G911">
        <v>-85.251099999999994</v>
      </c>
      <c r="H911">
        <v>-6</v>
      </c>
      <c r="I911">
        <v>282.89999999999998</v>
      </c>
      <c r="J911" t="str">
        <f>HYPERLINK("https://climate.onebuilding.org/WMO_Region_4_North_and_Central_America/USA_United_States_of_America/MI_Michigan/USA_MI_Battle.Creek-Kellogg.AP.725396_US.Normals.2006-2020.zip")</f>
        <v>https://climate.onebuilding.org/WMO_Region_4_North_and_Central_America/USA_United_States_of_America/MI_Michigan/USA_MI_Battle.Creek-Kellogg.AP.725396_US.Normals.2006-2020.zip</v>
      </c>
    </row>
    <row r="912" spans="1:10" x14ac:dyDescent="0.25">
      <c r="A912" t="s">
        <v>35</v>
      </c>
      <c r="B912" t="s">
        <v>584</v>
      </c>
      <c r="C912" t="s">
        <v>589</v>
      </c>
      <c r="D912" s="2">
        <v>726355</v>
      </c>
      <c r="E912" t="s">
        <v>13</v>
      </c>
      <c r="F912">
        <v>42.124400000000001</v>
      </c>
      <c r="G912">
        <v>-86.426699999999997</v>
      </c>
      <c r="H912">
        <v>-6</v>
      </c>
      <c r="I912">
        <v>196</v>
      </c>
      <c r="J912" t="str">
        <f>HYPERLINK("https://climate.onebuilding.org/WMO_Region_4_North_and_Central_America/USA_United_States_of_America/MI_Michigan/USA_MI_Benton.Harbor-Southwest.Michigan.Rgnl.AP.726355_US.Normals.2006-2020.zip")</f>
        <v>https://climate.onebuilding.org/WMO_Region_4_North_and_Central_America/USA_United_States_of_America/MI_Michigan/USA_MI_Benton.Harbor-Southwest.Michigan.Rgnl.AP.726355_US.Normals.2006-2020.zip</v>
      </c>
    </row>
    <row r="913" spans="1:10" x14ac:dyDescent="0.25">
      <c r="A913" t="s">
        <v>35</v>
      </c>
      <c r="B913" t="s">
        <v>584</v>
      </c>
      <c r="C913" t="s">
        <v>590</v>
      </c>
      <c r="D913" s="2">
        <v>726384</v>
      </c>
      <c r="E913" t="s">
        <v>13</v>
      </c>
      <c r="F913">
        <v>44.265599999999999</v>
      </c>
      <c r="G913">
        <v>-85.396699999999996</v>
      </c>
      <c r="H913">
        <v>-6</v>
      </c>
      <c r="I913">
        <v>394.7</v>
      </c>
      <c r="J913" t="str">
        <f>HYPERLINK("https://climate.onebuilding.org/WMO_Region_4_North_and_Central_America/USA_United_States_of_America/MI_Michigan/USA_MI_Cadillac-Wexford.County.AP.726384_US.Normals.2006-2020.zip")</f>
        <v>https://climate.onebuilding.org/WMO_Region_4_North_and_Central_America/USA_United_States_of_America/MI_Michigan/USA_MI_Cadillac-Wexford.County.AP.726384_US.Normals.2006-2020.zip</v>
      </c>
    </row>
    <row r="914" spans="1:10" x14ac:dyDescent="0.25">
      <c r="A914" t="s">
        <v>35</v>
      </c>
      <c r="B914" t="s">
        <v>584</v>
      </c>
      <c r="C914" t="s">
        <v>591</v>
      </c>
      <c r="D914" s="2">
        <v>725380</v>
      </c>
      <c r="E914" t="s">
        <v>13</v>
      </c>
      <c r="F914">
        <v>46.334400000000002</v>
      </c>
      <c r="G914">
        <v>-86.92</v>
      </c>
      <c r="H914">
        <v>-6</v>
      </c>
      <c r="I914">
        <v>266.7</v>
      </c>
      <c r="J914" t="str">
        <f>HYPERLINK("https://climate.onebuilding.org/WMO_Region_4_North_and_Central_America/USA_United_States_of_America/MI_Michigan/USA_MI_Chatham.725380_US.Normals.2006-2020.zip")</f>
        <v>https://climate.onebuilding.org/WMO_Region_4_North_and_Central_America/USA_United_States_of_America/MI_Michigan/USA_MI_Chatham.725380_US.Normals.2006-2020.zip</v>
      </c>
    </row>
    <row r="915" spans="1:10" x14ac:dyDescent="0.25">
      <c r="A915" t="s">
        <v>35</v>
      </c>
      <c r="B915" t="s">
        <v>584</v>
      </c>
      <c r="C915" t="s">
        <v>592</v>
      </c>
      <c r="D915" s="2">
        <v>725387</v>
      </c>
      <c r="E915" t="s">
        <v>13</v>
      </c>
      <c r="F915">
        <v>47.466700000000003</v>
      </c>
      <c r="G915">
        <v>-87.883300000000006</v>
      </c>
      <c r="H915">
        <v>-6</v>
      </c>
      <c r="I915">
        <v>190.8</v>
      </c>
      <c r="J915" t="str">
        <f>HYPERLINK("https://climate.onebuilding.org/WMO_Region_4_North_and_Central_America/USA_United_States_of_America/MI_Michigan/USA_MI_Copper.Harbor.725387_US.Normals.2006-2020.zip")</f>
        <v>https://climate.onebuilding.org/WMO_Region_4_North_and_Central_America/USA_United_States_of_America/MI_Michigan/USA_MI_Copper.Harbor.725387_US.Normals.2006-2020.zip</v>
      </c>
    </row>
    <row r="916" spans="1:10" x14ac:dyDescent="0.25">
      <c r="A916" t="s">
        <v>35</v>
      </c>
      <c r="B916" t="s">
        <v>584</v>
      </c>
      <c r="C916" t="s">
        <v>593</v>
      </c>
      <c r="D916" s="2">
        <v>725375</v>
      </c>
      <c r="E916" t="s">
        <v>13</v>
      </c>
      <c r="F916">
        <v>42.409199999999998</v>
      </c>
      <c r="G916">
        <v>-83.01</v>
      </c>
      <c r="H916">
        <v>-6</v>
      </c>
      <c r="I916">
        <v>190.8</v>
      </c>
      <c r="J916" t="str">
        <f>HYPERLINK("https://climate.onebuilding.org/WMO_Region_4_North_and_Central_America/USA_United_States_of_America/MI_Michigan/USA_MI_Detroit-Young.Intl.AP.725375_US.Normals.1981-2010.zip")</f>
        <v>https://climate.onebuilding.org/WMO_Region_4_North_and_Central_America/USA_United_States_of_America/MI_Michigan/USA_MI_Detroit-Young.Intl.AP.725375_US.Normals.1981-2010.zip</v>
      </c>
    </row>
    <row r="917" spans="1:10" x14ac:dyDescent="0.25">
      <c r="A917" t="s">
        <v>35</v>
      </c>
      <c r="B917" t="s">
        <v>584</v>
      </c>
      <c r="C917" t="s">
        <v>593</v>
      </c>
      <c r="D917" s="2">
        <v>725375</v>
      </c>
      <c r="E917" t="s">
        <v>13</v>
      </c>
      <c r="F917">
        <v>42.409199999999998</v>
      </c>
      <c r="G917">
        <v>-83.01</v>
      </c>
      <c r="H917">
        <v>-6</v>
      </c>
      <c r="I917">
        <v>190.8</v>
      </c>
      <c r="J917" t="str">
        <f>HYPERLINK("https://climate.onebuilding.org/WMO_Region_4_North_and_Central_America/USA_United_States_of_America/MI_Michigan/USA_MI_Detroit-Young.Intl.AP.725375_US.Normals.1991-2020.zip")</f>
        <v>https://climate.onebuilding.org/WMO_Region_4_North_and_Central_America/USA_United_States_of_America/MI_Michigan/USA_MI_Detroit-Young.Intl.AP.725375_US.Normals.1991-2020.zip</v>
      </c>
    </row>
    <row r="918" spans="1:10" x14ac:dyDescent="0.25">
      <c r="A918" t="s">
        <v>35</v>
      </c>
      <c r="B918" t="s">
        <v>584</v>
      </c>
      <c r="C918" t="s">
        <v>593</v>
      </c>
      <c r="D918" s="2">
        <v>725375</v>
      </c>
      <c r="E918" t="s">
        <v>13</v>
      </c>
      <c r="F918">
        <v>42.409199999999998</v>
      </c>
      <c r="G918">
        <v>-83.01</v>
      </c>
      <c r="H918">
        <v>-6</v>
      </c>
      <c r="I918">
        <v>190.8</v>
      </c>
      <c r="J918" t="str">
        <f>HYPERLINK("https://climate.onebuilding.org/WMO_Region_4_North_and_Central_America/USA_United_States_of_America/MI_Michigan/USA_MI_Detroit-Young.Intl.AP.725375_US.Normals.2006-2020.zip")</f>
        <v>https://climate.onebuilding.org/WMO_Region_4_North_and_Central_America/USA_United_States_of_America/MI_Michigan/USA_MI_Detroit-Young.Intl.AP.725375_US.Normals.2006-2020.zip</v>
      </c>
    </row>
    <row r="919" spans="1:10" x14ac:dyDescent="0.25">
      <c r="A919" t="s">
        <v>35</v>
      </c>
      <c r="B919" t="s">
        <v>584</v>
      </c>
      <c r="C919" t="s">
        <v>594</v>
      </c>
      <c r="D919" s="2">
        <v>725370</v>
      </c>
      <c r="E919" t="s">
        <v>13</v>
      </c>
      <c r="F919">
        <v>42.231400000000001</v>
      </c>
      <c r="G919">
        <v>-83.330799999999996</v>
      </c>
      <c r="H919">
        <v>-6</v>
      </c>
      <c r="I919">
        <v>192.3</v>
      </c>
      <c r="J919" t="str">
        <f>HYPERLINK("https://climate.onebuilding.org/WMO_Region_4_North_and_Central_America/USA_United_States_of_America/MI_Michigan/USA_MI_Detroit.Metro.Wayne.County.AP.725370_US.Normals.1991-2020.zip")</f>
        <v>https://climate.onebuilding.org/WMO_Region_4_North_and_Central_America/USA_United_States_of_America/MI_Michigan/USA_MI_Detroit.Metro.Wayne.County.AP.725370_US.Normals.1991-2020.zip</v>
      </c>
    </row>
    <row r="920" spans="1:10" x14ac:dyDescent="0.25">
      <c r="A920" t="s">
        <v>35</v>
      </c>
      <c r="B920" t="s">
        <v>584</v>
      </c>
      <c r="C920" t="s">
        <v>595</v>
      </c>
      <c r="D920" s="2">
        <v>726370</v>
      </c>
      <c r="E920" t="s">
        <v>13</v>
      </c>
      <c r="F920">
        <v>42.966700000000003</v>
      </c>
      <c r="G920">
        <v>-83.749399999999994</v>
      </c>
      <c r="H920">
        <v>-6</v>
      </c>
      <c r="I920">
        <v>234.7</v>
      </c>
      <c r="J920" t="str">
        <f>HYPERLINK("https://climate.onebuilding.org/WMO_Region_4_North_and_Central_America/USA_United_States_of_America/MI_Michigan/USA_MI_Flint-Bishop.Intl.AP.726370_US.Normals.1991-2020.zip")</f>
        <v>https://climate.onebuilding.org/WMO_Region_4_North_and_Central_America/USA_United_States_of_America/MI_Michigan/USA_MI_Flint-Bishop.Intl.AP.726370_US.Normals.1991-2020.zip</v>
      </c>
    </row>
    <row r="921" spans="1:10" x14ac:dyDescent="0.25">
      <c r="A921" t="s">
        <v>35</v>
      </c>
      <c r="B921" t="s">
        <v>584</v>
      </c>
      <c r="C921" t="s">
        <v>596</v>
      </c>
      <c r="D921" s="2">
        <v>725410</v>
      </c>
      <c r="E921" t="s">
        <v>13</v>
      </c>
      <c r="F921">
        <v>44.908099999999997</v>
      </c>
      <c r="G921">
        <v>-84.720299999999995</v>
      </c>
      <c r="H921">
        <v>-6</v>
      </c>
      <c r="I921">
        <v>445.3</v>
      </c>
      <c r="J921" t="str">
        <f>HYPERLINK("https://climate.onebuilding.org/WMO_Region_4_North_and_Central_America/USA_United_States_of_America/MI_Michigan/USA_MI_Gaylord.9.SSW.725410_US.Normals.2006-2020.zip")</f>
        <v>https://climate.onebuilding.org/WMO_Region_4_North_and_Central_America/USA_United_States_of_America/MI_Michigan/USA_MI_Gaylord.9.SSW.725410_US.Normals.2006-2020.zip</v>
      </c>
    </row>
    <row r="922" spans="1:10" x14ac:dyDescent="0.25">
      <c r="A922" t="s">
        <v>35</v>
      </c>
      <c r="B922" t="s">
        <v>584</v>
      </c>
      <c r="C922" t="s">
        <v>597</v>
      </c>
      <c r="D922" s="2">
        <v>726340</v>
      </c>
      <c r="E922" t="s">
        <v>13</v>
      </c>
      <c r="F922">
        <v>45.013300000000001</v>
      </c>
      <c r="G922">
        <v>-84.701400000000007</v>
      </c>
      <c r="H922">
        <v>-6</v>
      </c>
      <c r="I922">
        <v>406.9</v>
      </c>
      <c r="J922" t="str">
        <f>HYPERLINK("https://climate.onebuilding.org/WMO_Region_4_North_and_Central_America/USA_United_States_of_America/MI_Michigan/USA_MI_Gaylord.Rgnl.AP.726340_US.Normals.2006-2020.zip")</f>
        <v>https://climate.onebuilding.org/WMO_Region_4_North_and_Central_America/USA_United_States_of_America/MI_Michigan/USA_MI_Gaylord.Rgnl.AP.726340_US.Normals.2006-2020.zip</v>
      </c>
    </row>
    <row r="923" spans="1:10" x14ac:dyDescent="0.25">
      <c r="A923" t="s">
        <v>35</v>
      </c>
      <c r="B923" t="s">
        <v>584</v>
      </c>
      <c r="C923" t="s">
        <v>598</v>
      </c>
      <c r="D923" s="2">
        <v>726350</v>
      </c>
      <c r="E923" t="s">
        <v>13</v>
      </c>
      <c r="F923">
        <v>42.893900000000002</v>
      </c>
      <c r="G923">
        <v>-85.544700000000006</v>
      </c>
      <c r="H923">
        <v>-6</v>
      </c>
      <c r="I923">
        <v>237.1</v>
      </c>
      <c r="J923" t="str">
        <f>HYPERLINK("https://climate.onebuilding.org/WMO_Region_4_North_and_Central_America/USA_United_States_of_America/MI_Michigan/USA_MI_Grand.Rapids-Ford.Intl.AP.726350_US.Normals.1981-2010.zip")</f>
        <v>https://climate.onebuilding.org/WMO_Region_4_North_and_Central_America/USA_United_States_of_America/MI_Michigan/USA_MI_Grand.Rapids-Ford.Intl.AP.726350_US.Normals.1981-2010.zip</v>
      </c>
    </row>
    <row r="924" spans="1:10" x14ac:dyDescent="0.25">
      <c r="A924" t="s">
        <v>35</v>
      </c>
      <c r="B924" t="s">
        <v>584</v>
      </c>
      <c r="C924" t="s">
        <v>598</v>
      </c>
      <c r="D924" s="2">
        <v>726350</v>
      </c>
      <c r="E924" t="s">
        <v>13</v>
      </c>
      <c r="F924">
        <v>42.893900000000002</v>
      </c>
      <c r="G924">
        <v>-85.544700000000006</v>
      </c>
      <c r="H924">
        <v>-6</v>
      </c>
      <c r="I924">
        <v>237.1</v>
      </c>
      <c r="J924" t="str">
        <f>HYPERLINK("https://climate.onebuilding.org/WMO_Region_4_North_and_Central_America/USA_United_States_of_America/MI_Michigan/USA_MI_Grand.Rapids-Ford.Intl.AP.726350_US.Normals.1991-2020.zip")</f>
        <v>https://climate.onebuilding.org/WMO_Region_4_North_and_Central_America/USA_United_States_of_America/MI_Michigan/USA_MI_Grand.Rapids-Ford.Intl.AP.726350_US.Normals.1991-2020.zip</v>
      </c>
    </row>
    <row r="925" spans="1:10" x14ac:dyDescent="0.25">
      <c r="A925" t="s">
        <v>35</v>
      </c>
      <c r="B925" t="s">
        <v>584</v>
      </c>
      <c r="C925" t="s">
        <v>598</v>
      </c>
      <c r="D925" s="2">
        <v>726350</v>
      </c>
      <c r="E925" t="s">
        <v>13</v>
      </c>
      <c r="F925">
        <v>42.893900000000002</v>
      </c>
      <c r="G925">
        <v>-85.544700000000006</v>
      </c>
      <c r="H925">
        <v>-6</v>
      </c>
      <c r="I925">
        <v>237.1</v>
      </c>
      <c r="J925" t="str">
        <f>HYPERLINK("https://climate.onebuilding.org/WMO_Region_4_North_and_Central_America/USA_United_States_of_America/MI_Michigan/USA_MI_Grand.Rapids-Ford.Intl.AP.726350_US.Normals.2006-2020.zip")</f>
        <v>https://climate.onebuilding.org/WMO_Region_4_North_and_Central_America/USA_United_States_of_America/MI_Michigan/USA_MI_Grand.Rapids-Ford.Intl.AP.726350_US.Normals.2006-2020.zip</v>
      </c>
    </row>
    <row r="926" spans="1:10" x14ac:dyDescent="0.25">
      <c r="A926" t="s">
        <v>35</v>
      </c>
      <c r="B926" t="s">
        <v>584</v>
      </c>
      <c r="C926" t="s">
        <v>599</v>
      </c>
      <c r="D926" s="2">
        <v>725394</v>
      </c>
      <c r="E926" t="s">
        <v>13</v>
      </c>
      <c r="F926">
        <v>42.746099999999998</v>
      </c>
      <c r="G926">
        <v>-86.096699999999998</v>
      </c>
      <c r="H926">
        <v>-6</v>
      </c>
      <c r="I926">
        <v>210</v>
      </c>
      <c r="J926" t="str">
        <f>HYPERLINK("https://climate.onebuilding.org/WMO_Region_4_North_and_Central_America/USA_United_States_of_America/MI_Michigan/USA_MI_Holland-West.Michigan.Rgnl.AP.725394_US.Normals.2006-2020.zip")</f>
        <v>https://climate.onebuilding.org/WMO_Region_4_North_and_Central_America/USA_United_States_of_America/MI_Michigan/USA_MI_Holland-West.Michigan.Rgnl.AP.725394_US.Normals.2006-2020.zip</v>
      </c>
    </row>
    <row r="927" spans="1:10" x14ac:dyDescent="0.25">
      <c r="A927" t="s">
        <v>35</v>
      </c>
      <c r="B927" t="s">
        <v>584</v>
      </c>
      <c r="C927" t="s">
        <v>600</v>
      </c>
      <c r="D927" s="2">
        <v>727440</v>
      </c>
      <c r="E927" t="s">
        <v>13</v>
      </c>
      <c r="F927">
        <v>47.168599999999998</v>
      </c>
      <c r="G927">
        <v>-88.488900000000001</v>
      </c>
      <c r="H927">
        <v>-6</v>
      </c>
      <c r="I927">
        <v>333.8</v>
      </c>
      <c r="J927" t="str">
        <f>HYPERLINK("https://climate.onebuilding.org/WMO_Region_4_North_and_Central_America/USA_United_States_of_America/MI_Michigan/USA_MI_Houghton-Hancock-Houghton.County.Meml.AP.727440_US.Normals.1991-2020.zip")</f>
        <v>https://climate.onebuilding.org/WMO_Region_4_North_and_Central_America/USA_United_States_of_America/MI_Michigan/USA_MI_Houghton-Hancock-Houghton.County.Meml.AP.727440_US.Normals.1991-2020.zip</v>
      </c>
    </row>
    <row r="928" spans="1:10" x14ac:dyDescent="0.25">
      <c r="A928" t="s">
        <v>35</v>
      </c>
      <c r="B928" t="s">
        <v>584</v>
      </c>
      <c r="C928" t="s">
        <v>600</v>
      </c>
      <c r="D928" s="2">
        <v>727440</v>
      </c>
      <c r="E928" t="s">
        <v>13</v>
      </c>
      <c r="F928">
        <v>47.168599999999998</v>
      </c>
      <c r="G928">
        <v>-88.488900000000001</v>
      </c>
      <c r="H928">
        <v>-6</v>
      </c>
      <c r="I928">
        <v>333.8</v>
      </c>
      <c r="J928" t="str">
        <f>HYPERLINK("https://climate.onebuilding.org/WMO_Region_4_North_and_Central_America/USA_United_States_of_America/MI_Michigan/USA_MI_Houghton-Hancock-Houghton.County.Meml.AP.727440_US.Normals.2006-2020.zip")</f>
        <v>https://climate.onebuilding.org/WMO_Region_4_North_and_Central_America/USA_United_States_of_America/MI_Michigan/USA_MI_Houghton-Hancock-Houghton.County.Meml.AP.727440_US.Normals.2006-2020.zip</v>
      </c>
    </row>
    <row r="929" spans="1:10" x14ac:dyDescent="0.25">
      <c r="A929" t="s">
        <v>35</v>
      </c>
      <c r="B929" t="s">
        <v>584</v>
      </c>
      <c r="C929" t="s">
        <v>601</v>
      </c>
      <c r="D929" s="2">
        <v>726380</v>
      </c>
      <c r="E929" t="s">
        <v>13</v>
      </c>
      <c r="F929">
        <v>44.359200000000001</v>
      </c>
      <c r="G929">
        <v>-84.673900000000003</v>
      </c>
      <c r="H929">
        <v>-6</v>
      </c>
      <c r="I929">
        <v>350.8</v>
      </c>
      <c r="J929" t="str">
        <f>HYPERLINK("https://climate.onebuilding.org/WMO_Region_4_North_and_Central_America/USA_United_States_of_America/MI_Michigan/USA_MI_Houghton.Lake-Roscommon.County.AP.726380_US.Normals.1991-2020.zip")</f>
        <v>https://climate.onebuilding.org/WMO_Region_4_North_and_Central_America/USA_United_States_of_America/MI_Michigan/USA_MI_Houghton.Lake-Roscommon.County.AP.726380_US.Normals.1991-2020.zip</v>
      </c>
    </row>
    <row r="930" spans="1:10" x14ac:dyDescent="0.25">
      <c r="A930" t="s">
        <v>35</v>
      </c>
      <c r="B930" t="s">
        <v>584</v>
      </c>
      <c r="C930" t="s">
        <v>601</v>
      </c>
      <c r="D930" s="2">
        <v>726380</v>
      </c>
      <c r="E930" t="s">
        <v>13</v>
      </c>
      <c r="F930">
        <v>44.359200000000001</v>
      </c>
      <c r="G930">
        <v>-84.673900000000003</v>
      </c>
      <c r="H930">
        <v>-6</v>
      </c>
      <c r="I930">
        <v>350.8</v>
      </c>
      <c r="J930" t="str">
        <f>HYPERLINK("https://climate.onebuilding.org/WMO_Region_4_North_and_Central_America/USA_United_States_of_America/MI_Michigan/USA_MI_Houghton.Lake-Roscommon.County.AP.726380_US.Normals.2006-2020.zip")</f>
        <v>https://climate.onebuilding.org/WMO_Region_4_North_and_Central_America/USA_United_States_of_America/MI_Michigan/USA_MI_Houghton.Lake-Roscommon.County.AP.726380_US.Normals.2006-2020.zip</v>
      </c>
    </row>
    <row r="931" spans="1:10" x14ac:dyDescent="0.25">
      <c r="A931" t="s">
        <v>35</v>
      </c>
      <c r="B931" t="s">
        <v>584</v>
      </c>
      <c r="C931" t="s">
        <v>602</v>
      </c>
      <c r="D931" s="2">
        <v>727437</v>
      </c>
      <c r="E931" t="s">
        <v>13</v>
      </c>
      <c r="F931">
        <v>45.818300000000001</v>
      </c>
      <c r="G931">
        <v>-88.114400000000003</v>
      </c>
      <c r="H931">
        <v>-6</v>
      </c>
      <c r="I931">
        <v>350.2</v>
      </c>
      <c r="J931" t="str">
        <f>HYPERLINK("https://climate.onebuilding.org/WMO_Region_4_North_and_Central_America/USA_United_States_of_America/MI_Michigan/USA_MI_Iron.Mountain-Ford.AP.727437_US.Normals.2006-2020.zip")</f>
        <v>https://climate.onebuilding.org/WMO_Region_4_North_and_Central_America/USA_United_States_of_America/MI_Michigan/USA_MI_Iron.Mountain-Ford.AP.727437_US.Normals.2006-2020.zip</v>
      </c>
    </row>
    <row r="932" spans="1:10" x14ac:dyDescent="0.25">
      <c r="A932" t="s">
        <v>35</v>
      </c>
      <c r="B932" t="s">
        <v>584</v>
      </c>
      <c r="C932" t="s">
        <v>603</v>
      </c>
      <c r="D932" s="2">
        <v>725395</v>
      </c>
      <c r="E932" t="s">
        <v>13</v>
      </c>
      <c r="F932">
        <v>42.2667</v>
      </c>
      <c r="G932">
        <v>-84.466700000000003</v>
      </c>
      <c r="H932">
        <v>-6</v>
      </c>
      <c r="I932">
        <v>304.2</v>
      </c>
      <c r="J932" t="str">
        <f>HYPERLINK("https://climate.onebuilding.org/WMO_Region_4_North_and_Central_America/USA_United_States_of_America/MI_Michigan/USA_MI_Jackson.County.AP-Reynolds.Field.725395_US.Normals.1991-2020.zip")</f>
        <v>https://climate.onebuilding.org/WMO_Region_4_North_and_Central_America/USA_United_States_of_America/MI_Michigan/USA_MI_Jackson.County.AP-Reynolds.Field.725395_US.Normals.1991-2020.zip</v>
      </c>
    </row>
    <row r="933" spans="1:10" x14ac:dyDescent="0.25">
      <c r="A933" t="s">
        <v>35</v>
      </c>
      <c r="B933" t="s">
        <v>584</v>
      </c>
      <c r="C933" t="s">
        <v>603</v>
      </c>
      <c r="D933" s="2">
        <v>725395</v>
      </c>
      <c r="E933" t="s">
        <v>13</v>
      </c>
      <c r="F933">
        <v>42.2667</v>
      </c>
      <c r="G933">
        <v>-84.466700000000003</v>
      </c>
      <c r="H933">
        <v>-6</v>
      </c>
      <c r="I933">
        <v>304.2</v>
      </c>
      <c r="J933" t="str">
        <f>HYPERLINK("https://climate.onebuilding.org/WMO_Region_4_North_and_Central_America/USA_United_States_of_America/MI_Michigan/USA_MI_Jackson.County.AP-Reynolds.Field.725395_US.Normals.2006-2020.zip")</f>
        <v>https://climate.onebuilding.org/WMO_Region_4_North_and_Central_America/USA_United_States_of_America/MI_Michigan/USA_MI_Jackson.County.AP-Reynolds.Field.725395_US.Normals.2006-2020.zip</v>
      </c>
    </row>
    <row r="934" spans="1:10" x14ac:dyDescent="0.25">
      <c r="A934" t="s">
        <v>35</v>
      </c>
      <c r="B934" t="s">
        <v>584</v>
      </c>
      <c r="C934" t="s">
        <v>604</v>
      </c>
      <c r="D934" s="2">
        <v>726357</v>
      </c>
      <c r="E934" t="s">
        <v>13</v>
      </c>
      <c r="F934">
        <v>42.234699999999997</v>
      </c>
      <c r="G934">
        <v>-85.551900000000003</v>
      </c>
      <c r="H934">
        <v>-6</v>
      </c>
      <c r="I934">
        <v>264.60000000000002</v>
      </c>
      <c r="J934" t="str">
        <f>HYPERLINK("https://climate.onebuilding.org/WMO_Region_4_North_and_Central_America/USA_United_States_of_America/MI_Michigan/USA_MI_Kalamazoo-Battle.Creek.Intl.AP.726357_US.Normals.2006-2020.zip")</f>
        <v>https://climate.onebuilding.org/WMO_Region_4_North_and_Central_America/USA_United_States_of_America/MI_Michigan/USA_MI_Kalamazoo-Battle.Creek.Intl.AP.726357_US.Normals.2006-2020.zip</v>
      </c>
    </row>
    <row r="935" spans="1:10" x14ac:dyDescent="0.25">
      <c r="A935" t="s">
        <v>35</v>
      </c>
      <c r="B935" t="s">
        <v>584</v>
      </c>
      <c r="C935" t="s">
        <v>605</v>
      </c>
      <c r="D935" s="2">
        <v>725390</v>
      </c>
      <c r="E935" t="s">
        <v>13</v>
      </c>
      <c r="F935">
        <v>42.780299999999997</v>
      </c>
      <c r="G935">
        <v>-84.578900000000004</v>
      </c>
      <c r="H935">
        <v>-6</v>
      </c>
      <c r="I935">
        <v>256.3</v>
      </c>
      <c r="J935" t="str">
        <f>HYPERLINK("https://climate.onebuilding.org/WMO_Region_4_North_and_Central_America/USA_United_States_of_America/MI_Michigan/USA_MI_Lansing.Capital.Region.Intl.AP.725390_US.Normals.1981-2010.zip")</f>
        <v>https://climate.onebuilding.org/WMO_Region_4_North_and_Central_America/USA_United_States_of_America/MI_Michigan/USA_MI_Lansing.Capital.Region.Intl.AP.725390_US.Normals.1981-2010.zip</v>
      </c>
    </row>
    <row r="936" spans="1:10" x14ac:dyDescent="0.25">
      <c r="A936" t="s">
        <v>35</v>
      </c>
      <c r="B936" t="s">
        <v>584</v>
      </c>
      <c r="C936" t="s">
        <v>605</v>
      </c>
      <c r="D936" s="2">
        <v>725390</v>
      </c>
      <c r="E936" t="s">
        <v>13</v>
      </c>
      <c r="F936">
        <v>42.780299999999997</v>
      </c>
      <c r="G936">
        <v>-84.578900000000004</v>
      </c>
      <c r="H936">
        <v>-6</v>
      </c>
      <c r="I936">
        <v>256.3</v>
      </c>
      <c r="J936" t="str">
        <f>HYPERLINK("https://climate.onebuilding.org/WMO_Region_4_North_and_Central_America/USA_United_States_of_America/MI_Michigan/USA_MI_Lansing.Capital.Region.Intl.AP.725390_US.Normals.1991-2020.zip")</f>
        <v>https://climate.onebuilding.org/WMO_Region_4_North_and_Central_America/USA_United_States_of_America/MI_Michigan/USA_MI_Lansing.Capital.Region.Intl.AP.725390_US.Normals.1991-2020.zip</v>
      </c>
    </row>
    <row r="937" spans="1:10" x14ac:dyDescent="0.25">
      <c r="A937" t="s">
        <v>35</v>
      </c>
      <c r="B937" t="s">
        <v>584</v>
      </c>
      <c r="C937" t="s">
        <v>605</v>
      </c>
      <c r="D937" s="2">
        <v>725390</v>
      </c>
      <c r="E937" t="s">
        <v>13</v>
      </c>
      <c r="F937">
        <v>42.780299999999997</v>
      </c>
      <c r="G937">
        <v>-84.578900000000004</v>
      </c>
      <c r="H937">
        <v>-6</v>
      </c>
      <c r="I937">
        <v>256.3</v>
      </c>
      <c r="J937" t="str">
        <f>HYPERLINK("https://climate.onebuilding.org/WMO_Region_4_North_and_Central_America/USA_United_States_of_America/MI_Michigan/USA_MI_Lansing.Capital.Region.Intl.AP.725390_US.Normals.2006-2020.zip")</f>
        <v>https://climate.onebuilding.org/WMO_Region_4_North_and_Central_America/USA_United_States_of_America/MI_Michigan/USA_MI_Lansing.Capital.Region.Intl.AP.725390_US.Normals.2006-2020.zip</v>
      </c>
    </row>
    <row r="938" spans="1:10" x14ac:dyDescent="0.25">
      <c r="A938" t="s">
        <v>35</v>
      </c>
      <c r="B938" t="s">
        <v>584</v>
      </c>
      <c r="C938" t="s">
        <v>606</v>
      </c>
      <c r="D938" s="2">
        <v>726379</v>
      </c>
      <c r="E938" t="s">
        <v>13</v>
      </c>
      <c r="F938">
        <v>43.533099999999997</v>
      </c>
      <c r="G938">
        <v>-84.079700000000003</v>
      </c>
      <c r="H938">
        <v>-6</v>
      </c>
      <c r="I938">
        <v>201.2</v>
      </c>
      <c r="J938" t="str">
        <f>HYPERLINK("https://climate.onebuilding.org/WMO_Region_4_North_and_Central_America/USA_United_States_of_America/MI_Michigan/USA_MI_Midland-Bay.City-Saginaw-MBS.Intl.AP.726379_US.Normals.1981-2010.zip")</f>
        <v>https://climate.onebuilding.org/WMO_Region_4_North_and_Central_America/USA_United_States_of_America/MI_Michigan/USA_MI_Midland-Bay.City-Saginaw-MBS.Intl.AP.726379_US.Normals.1981-2010.zip</v>
      </c>
    </row>
    <row r="939" spans="1:10" x14ac:dyDescent="0.25">
      <c r="A939" t="s">
        <v>35</v>
      </c>
      <c r="B939" t="s">
        <v>584</v>
      </c>
      <c r="C939" t="s">
        <v>606</v>
      </c>
      <c r="D939" s="2">
        <v>726379</v>
      </c>
      <c r="E939" t="s">
        <v>13</v>
      </c>
      <c r="F939">
        <v>43.533099999999997</v>
      </c>
      <c r="G939">
        <v>-84.079700000000003</v>
      </c>
      <c r="H939">
        <v>-6</v>
      </c>
      <c r="I939">
        <v>201.2</v>
      </c>
      <c r="J939" t="str">
        <f>HYPERLINK("https://climate.onebuilding.org/WMO_Region_4_North_and_Central_America/USA_United_States_of_America/MI_Michigan/USA_MI_Midland-Bay.City-Saginaw-MBS.Intl.AP.726379_US.Normals.1991-2020.zip")</f>
        <v>https://climate.onebuilding.org/WMO_Region_4_North_and_Central_America/USA_United_States_of_America/MI_Michigan/USA_MI_Midland-Bay.City-Saginaw-MBS.Intl.AP.726379_US.Normals.1991-2020.zip</v>
      </c>
    </row>
    <row r="940" spans="1:10" x14ac:dyDescent="0.25">
      <c r="A940" t="s">
        <v>35</v>
      </c>
      <c r="B940" t="s">
        <v>584</v>
      </c>
      <c r="C940" t="s">
        <v>606</v>
      </c>
      <c r="D940" s="2">
        <v>726379</v>
      </c>
      <c r="E940" t="s">
        <v>13</v>
      </c>
      <c r="F940">
        <v>43.533099999999997</v>
      </c>
      <c r="G940">
        <v>-84.079700000000003</v>
      </c>
      <c r="H940">
        <v>-6</v>
      </c>
      <c r="I940">
        <v>201.2</v>
      </c>
      <c r="J940" t="str">
        <f>HYPERLINK("https://climate.onebuilding.org/WMO_Region_4_North_and_Central_America/USA_United_States_of_America/MI_Michigan/USA_MI_Midland-Bay.City-Saginaw-MBS.Intl.AP.726379_US.Normals.2006-2020.zip")</f>
        <v>https://climate.onebuilding.org/WMO_Region_4_North_and_Central_America/USA_United_States_of_America/MI_Michigan/USA_MI_Midland-Bay.City-Saginaw-MBS.Intl.AP.726379_US.Normals.2006-2020.zip</v>
      </c>
    </row>
    <row r="941" spans="1:10" x14ac:dyDescent="0.25">
      <c r="A941" t="s">
        <v>35</v>
      </c>
      <c r="B941" t="s">
        <v>584</v>
      </c>
      <c r="C941" t="s">
        <v>607</v>
      </c>
      <c r="D941" s="2">
        <v>725377</v>
      </c>
      <c r="E941" t="s">
        <v>13</v>
      </c>
      <c r="F941">
        <v>42.6083</v>
      </c>
      <c r="G941">
        <v>-82.818299999999994</v>
      </c>
      <c r="H941">
        <v>-6</v>
      </c>
      <c r="I941">
        <v>176.8</v>
      </c>
      <c r="J941" t="str">
        <f>HYPERLINK("https://climate.onebuilding.org/WMO_Region_4_North_and_Central_America/USA_United_States_of_America/MI_Michigan/USA_MI_Mount.Clemens-Selfridge.ANGB.725377_US.Normals.1981-2010.zip")</f>
        <v>https://climate.onebuilding.org/WMO_Region_4_North_and_Central_America/USA_United_States_of_America/MI_Michigan/USA_MI_Mount.Clemens-Selfridge.ANGB.725377_US.Normals.1981-2010.zip</v>
      </c>
    </row>
    <row r="942" spans="1:10" x14ac:dyDescent="0.25">
      <c r="A942" t="s">
        <v>35</v>
      </c>
      <c r="B942" t="s">
        <v>584</v>
      </c>
      <c r="C942" t="s">
        <v>607</v>
      </c>
      <c r="D942" s="2">
        <v>725377</v>
      </c>
      <c r="E942" t="s">
        <v>13</v>
      </c>
      <c r="F942">
        <v>42.6083</v>
      </c>
      <c r="G942">
        <v>-82.818299999999994</v>
      </c>
      <c r="H942">
        <v>-6</v>
      </c>
      <c r="I942">
        <v>176.8</v>
      </c>
      <c r="J942" t="str">
        <f>HYPERLINK("https://climate.onebuilding.org/WMO_Region_4_North_and_Central_America/USA_United_States_of_America/MI_Michigan/USA_MI_Mount.Clemens-Selfridge.ANGB.725377_US.Normals.1991-2020.zip")</f>
        <v>https://climate.onebuilding.org/WMO_Region_4_North_and_Central_America/USA_United_States_of_America/MI_Michigan/USA_MI_Mount.Clemens-Selfridge.ANGB.725377_US.Normals.1991-2020.zip</v>
      </c>
    </row>
    <row r="943" spans="1:10" x14ac:dyDescent="0.25">
      <c r="A943" t="s">
        <v>35</v>
      </c>
      <c r="B943" t="s">
        <v>584</v>
      </c>
      <c r="C943" t="s">
        <v>607</v>
      </c>
      <c r="D943" s="2">
        <v>725377</v>
      </c>
      <c r="E943" t="s">
        <v>13</v>
      </c>
      <c r="F943">
        <v>42.6083</v>
      </c>
      <c r="G943">
        <v>-82.818299999999994</v>
      </c>
      <c r="H943">
        <v>-6</v>
      </c>
      <c r="I943">
        <v>176.8</v>
      </c>
      <c r="J943" t="str">
        <f>HYPERLINK("https://climate.onebuilding.org/WMO_Region_4_North_and_Central_America/USA_United_States_of_America/MI_Michigan/USA_MI_Mount.Clemens-Selfridge.ANGB.725377_US.Normals.2006-2020.zip")</f>
        <v>https://climate.onebuilding.org/WMO_Region_4_North_and_Central_America/USA_United_States_of_America/MI_Michigan/USA_MI_Mount.Clemens-Selfridge.ANGB.725377_US.Normals.2006-2020.zip</v>
      </c>
    </row>
    <row r="944" spans="1:10" x14ac:dyDescent="0.25">
      <c r="A944" t="s">
        <v>35</v>
      </c>
      <c r="B944" t="s">
        <v>584</v>
      </c>
      <c r="C944" t="s">
        <v>608</v>
      </c>
      <c r="D944" s="2">
        <v>720198</v>
      </c>
      <c r="E944" t="s">
        <v>13</v>
      </c>
      <c r="F944">
        <v>46.416699999999999</v>
      </c>
      <c r="G944">
        <v>-86.65</v>
      </c>
      <c r="H944">
        <v>-6</v>
      </c>
      <c r="I944">
        <v>186.5</v>
      </c>
      <c r="J944" t="str">
        <f>HYPERLINK("https://climate.onebuilding.org/WMO_Region_4_North_and_Central_America/USA_United_States_of_America/MI_Michigan/USA_MI_Munising.Lakeshore.720198_US.Normals.2006-2020.zip")</f>
        <v>https://climate.onebuilding.org/WMO_Region_4_North_and_Central_America/USA_United_States_of_America/MI_Michigan/USA_MI_Munising.Lakeshore.720198_US.Normals.2006-2020.zip</v>
      </c>
    </row>
    <row r="945" spans="1:10" x14ac:dyDescent="0.25">
      <c r="A945" t="s">
        <v>35</v>
      </c>
      <c r="B945" t="s">
        <v>584</v>
      </c>
      <c r="C945" t="s">
        <v>609</v>
      </c>
      <c r="D945" s="2">
        <v>726360</v>
      </c>
      <c r="E945" t="s">
        <v>13</v>
      </c>
      <c r="F945">
        <v>43.171100000000003</v>
      </c>
      <c r="G945">
        <v>-86.236699999999999</v>
      </c>
      <c r="H945">
        <v>-6</v>
      </c>
      <c r="I945">
        <v>190.5</v>
      </c>
      <c r="J945" t="str">
        <f>HYPERLINK("https://climate.onebuilding.org/WMO_Region_4_North_and_Central_America/USA_United_States_of_America/MI_Michigan/USA_MI_Muskegon-Muskegon.County.AP.726360_US.Normals.1981-2010.zip")</f>
        <v>https://climate.onebuilding.org/WMO_Region_4_North_and_Central_America/USA_United_States_of_America/MI_Michigan/USA_MI_Muskegon-Muskegon.County.AP.726360_US.Normals.1981-2010.zip</v>
      </c>
    </row>
    <row r="946" spans="1:10" x14ac:dyDescent="0.25">
      <c r="A946" t="s">
        <v>35</v>
      </c>
      <c r="B946" t="s">
        <v>584</v>
      </c>
      <c r="C946" t="s">
        <v>609</v>
      </c>
      <c r="D946" s="2">
        <v>726360</v>
      </c>
      <c r="E946" t="s">
        <v>13</v>
      </c>
      <c r="F946">
        <v>43.171100000000003</v>
      </c>
      <c r="G946">
        <v>-86.236699999999999</v>
      </c>
      <c r="H946">
        <v>-6</v>
      </c>
      <c r="I946">
        <v>190.5</v>
      </c>
      <c r="J946" t="str">
        <f>HYPERLINK("https://climate.onebuilding.org/WMO_Region_4_North_and_Central_America/USA_United_States_of_America/MI_Michigan/USA_MI_Muskegon-Muskegon.County.AP.726360_US.Normals.1991-2020.zip")</f>
        <v>https://climate.onebuilding.org/WMO_Region_4_North_and_Central_America/USA_United_States_of_America/MI_Michigan/USA_MI_Muskegon-Muskegon.County.AP.726360_US.Normals.1991-2020.zip</v>
      </c>
    </row>
    <row r="947" spans="1:10" x14ac:dyDescent="0.25">
      <c r="A947" t="s">
        <v>35</v>
      </c>
      <c r="B947" t="s">
        <v>584</v>
      </c>
      <c r="C947" t="s">
        <v>609</v>
      </c>
      <c r="D947" s="2">
        <v>726360</v>
      </c>
      <c r="E947" t="s">
        <v>13</v>
      </c>
      <c r="F947">
        <v>43.171100000000003</v>
      </c>
      <c r="G947">
        <v>-86.236699999999999</v>
      </c>
      <c r="H947">
        <v>-6</v>
      </c>
      <c r="I947">
        <v>190.5</v>
      </c>
      <c r="J947" t="str">
        <f>HYPERLINK("https://climate.onebuilding.org/WMO_Region_4_North_and_Central_America/USA_United_States_of_America/MI_Michigan/USA_MI_Muskegon-Muskegon.County.AP.726360_US.Normals.2006-2020.zip")</f>
        <v>https://climate.onebuilding.org/WMO_Region_4_North_and_Central_America/USA_United_States_of_America/MI_Michigan/USA_MI_Muskegon-Muskegon.County.AP.726360_US.Normals.2006-2020.zip</v>
      </c>
    </row>
    <row r="948" spans="1:10" x14ac:dyDescent="0.25">
      <c r="A948" t="s">
        <v>35</v>
      </c>
      <c r="B948" t="s">
        <v>584</v>
      </c>
      <c r="C948" t="s">
        <v>610</v>
      </c>
      <c r="D948" s="2">
        <v>726395</v>
      </c>
      <c r="E948" t="s">
        <v>13</v>
      </c>
      <c r="F948">
        <v>44.45</v>
      </c>
      <c r="G948">
        <v>-83.4</v>
      </c>
      <c r="H948">
        <v>-6</v>
      </c>
      <c r="I948">
        <v>188.1</v>
      </c>
      <c r="J948" t="str">
        <f>HYPERLINK("https://climate.onebuilding.org/WMO_Region_4_North_and_Central_America/USA_United_States_of_America/MI_Michigan/USA_MI_Oscoda-Wurtsmith.AP.726395_US.Normals.2006-2020.zip")</f>
        <v>https://climate.onebuilding.org/WMO_Region_4_North_and_Central_America/USA_United_States_of_America/MI_Michigan/USA_MI_Oscoda-Wurtsmith.AP.726395_US.Normals.2006-2020.zip</v>
      </c>
    </row>
    <row r="949" spans="1:10" x14ac:dyDescent="0.25">
      <c r="A949" t="s">
        <v>35</v>
      </c>
      <c r="B949" t="s">
        <v>584</v>
      </c>
      <c r="C949" t="s">
        <v>611</v>
      </c>
      <c r="D949" s="2">
        <v>727347</v>
      </c>
      <c r="E949" t="s">
        <v>13</v>
      </c>
      <c r="F949">
        <v>45.564399999999999</v>
      </c>
      <c r="G949">
        <v>-84.7928</v>
      </c>
      <c r="H949">
        <v>-6</v>
      </c>
      <c r="I949">
        <v>214.9</v>
      </c>
      <c r="J949" t="str">
        <f>HYPERLINK("https://climate.onebuilding.org/WMO_Region_4_North_and_Central_America/USA_United_States_of_America/MI_Michigan/USA_MI_Pellston.Rgnl.AP.727347_US.Normals.1981-2010.zip")</f>
        <v>https://climate.onebuilding.org/WMO_Region_4_North_and_Central_America/USA_United_States_of_America/MI_Michigan/USA_MI_Pellston.Rgnl.AP.727347_US.Normals.1981-2010.zip</v>
      </c>
    </row>
    <row r="950" spans="1:10" x14ac:dyDescent="0.25">
      <c r="A950" t="s">
        <v>35</v>
      </c>
      <c r="B950" t="s">
        <v>584</v>
      </c>
      <c r="C950" t="s">
        <v>611</v>
      </c>
      <c r="D950" s="2">
        <v>727347</v>
      </c>
      <c r="E950" t="s">
        <v>13</v>
      </c>
      <c r="F950">
        <v>45.564399999999999</v>
      </c>
      <c r="G950">
        <v>-84.7928</v>
      </c>
      <c r="H950">
        <v>-6</v>
      </c>
      <c r="I950">
        <v>214.9</v>
      </c>
      <c r="J950" t="str">
        <f>HYPERLINK("https://climate.onebuilding.org/WMO_Region_4_North_and_Central_America/USA_United_States_of_America/MI_Michigan/USA_MI_Pellston.Rgnl.AP.727347_US.Normals.1991-2020.zip")</f>
        <v>https://climate.onebuilding.org/WMO_Region_4_North_and_Central_America/USA_United_States_of_America/MI_Michigan/USA_MI_Pellston.Rgnl.AP.727347_US.Normals.1991-2020.zip</v>
      </c>
    </row>
    <row r="951" spans="1:10" x14ac:dyDescent="0.25">
      <c r="A951" t="s">
        <v>35</v>
      </c>
      <c r="B951" t="s">
        <v>584</v>
      </c>
      <c r="C951" t="s">
        <v>611</v>
      </c>
      <c r="D951" s="2">
        <v>727347</v>
      </c>
      <c r="E951" t="s">
        <v>13</v>
      </c>
      <c r="F951">
        <v>45.564399999999999</v>
      </c>
      <c r="G951">
        <v>-84.7928</v>
      </c>
      <c r="H951">
        <v>-6</v>
      </c>
      <c r="I951">
        <v>214.9</v>
      </c>
      <c r="J951" t="str">
        <f>HYPERLINK("https://climate.onebuilding.org/WMO_Region_4_North_and_Central_America/USA_United_States_of_America/MI_Michigan/USA_MI_Pellston.Rgnl.AP.727347_US.Normals.2006-2020.zip")</f>
        <v>https://climate.onebuilding.org/WMO_Region_4_North_and_Central_America/USA_United_States_of_America/MI_Michigan/USA_MI_Pellston.Rgnl.AP.727347_US.Normals.2006-2020.zip</v>
      </c>
    </row>
    <row r="952" spans="1:10" x14ac:dyDescent="0.25">
      <c r="A952" t="s">
        <v>35</v>
      </c>
      <c r="B952" t="s">
        <v>584</v>
      </c>
      <c r="C952" t="s">
        <v>612</v>
      </c>
      <c r="D952" s="2">
        <v>726375</v>
      </c>
      <c r="E952" t="s">
        <v>13</v>
      </c>
      <c r="F952">
        <v>42.664999999999999</v>
      </c>
      <c r="G952">
        <v>-83.418099999999995</v>
      </c>
      <c r="H952">
        <v>-6</v>
      </c>
      <c r="I952">
        <v>297.5</v>
      </c>
      <c r="J952" t="str">
        <f>HYPERLINK("https://climate.onebuilding.org/WMO_Region_4_North_and_Central_America/USA_United_States_of_America/MI_Michigan/USA_MI_Pontiac-Oakland.County.Intl.AP.726375_US.Normals.2006-2020.zip")</f>
        <v>https://climate.onebuilding.org/WMO_Region_4_North_and_Central_America/USA_United_States_of_America/MI_Michigan/USA_MI_Pontiac-Oakland.County.Intl.AP.726375_US.Normals.2006-2020.zip</v>
      </c>
    </row>
    <row r="953" spans="1:10" x14ac:dyDescent="0.25">
      <c r="A953" t="s">
        <v>35</v>
      </c>
      <c r="B953" t="s">
        <v>584</v>
      </c>
      <c r="C953" t="s">
        <v>613</v>
      </c>
      <c r="D953" s="2">
        <v>725386</v>
      </c>
      <c r="E953" t="s">
        <v>13</v>
      </c>
      <c r="F953">
        <v>44.021900000000002</v>
      </c>
      <c r="G953">
        <v>-82.793099999999995</v>
      </c>
      <c r="H953">
        <v>-6</v>
      </c>
      <c r="I953">
        <v>179.8</v>
      </c>
      <c r="J953" t="str">
        <f>HYPERLINK("https://climate.onebuilding.org/WMO_Region_4_North_and_Central_America/USA_United_States_of_America/MI_Michigan/USA_MI_Port.Hope-Lighthouse.County.Park.725386_US.Normals.2006-2020.zip")</f>
        <v>https://climate.onebuilding.org/WMO_Region_4_North_and_Central_America/USA_United_States_of_America/MI_Michigan/USA_MI_Port.Hope-Lighthouse.County.Park.725386_US.Normals.2006-2020.zip</v>
      </c>
    </row>
    <row r="954" spans="1:10" x14ac:dyDescent="0.25">
      <c r="A954" t="s">
        <v>35</v>
      </c>
      <c r="B954" t="s">
        <v>584</v>
      </c>
      <c r="C954" t="s">
        <v>614</v>
      </c>
      <c r="D954" s="2">
        <v>727340</v>
      </c>
      <c r="E954" t="s">
        <v>13</v>
      </c>
      <c r="F954">
        <v>46.479399999999998</v>
      </c>
      <c r="G954">
        <v>-84.357200000000006</v>
      </c>
      <c r="H954">
        <v>-6</v>
      </c>
      <c r="I954">
        <v>220.1</v>
      </c>
      <c r="J954" t="str">
        <f>HYPERLINK("https://climate.onebuilding.org/WMO_Region_4_North_and_Central_America/USA_United_States_of_America/MI_Michigan/USA_MI_Sault.Ste.Marie-Sanderson.Field.AP.727340_US.Normals.1981-2010.zip")</f>
        <v>https://climate.onebuilding.org/WMO_Region_4_North_and_Central_America/USA_United_States_of_America/MI_Michigan/USA_MI_Sault.Ste.Marie-Sanderson.Field.AP.727340_US.Normals.1981-2010.zip</v>
      </c>
    </row>
    <row r="955" spans="1:10" x14ac:dyDescent="0.25">
      <c r="A955" t="s">
        <v>35</v>
      </c>
      <c r="B955" t="s">
        <v>584</v>
      </c>
      <c r="C955" t="s">
        <v>614</v>
      </c>
      <c r="D955" s="2">
        <v>727340</v>
      </c>
      <c r="E955" t="s">
        <v>13</v>
      </c>
      <c r="F955">
        <v>46.479399999999998</v>
      </c>
      <c r="G955">
        <v>-84.357200000000006</v>
      </c>
      <c r="H955">
        <v>-6</v>
      </c>
      <c r="I955">
        <v>220.1</v>
      </c>
      <c r="J955" t="str">
        <f>HYPERLINK("https://climate.onebuilding.org/WMO_Region_4_North_and_Central_America/USA_United_States_of_America/MI_Michigan/USA_MI_Sault.Ste.Marie-Sanderson.Field.AP.727340_US.Normals.1991-2020.zip")</f>
        <v>https://climate.onebuilding.org/WMO_Region_4_North_and_Central_America/USA_United_States_of_America/MI_Michigan/USA_MI_Sault.Ste.Marie-Sanderson.Field.AP.727340_US.Normals.1991-2020.zip</v>
      </c>
    </row>
    <row r="956" spans="1:10" x14ac:dyDescent="0.25">
      <c r="A956" t="s">
        <v>35</v>
      </c>
      <c r="B956" t="s">
        <v>584</v>
      </c>
      <c r="C956" t="s">
        <v>614</v>
      </c>
      <c r="D956" s="2">
        <v>727340</v>
      </c>
      <c r="E956" t="s">
        <v>13</v>
      </c>
      <c r="F956">
        <v>46.479399999999998</v>
      </c>
      <c r="G956">
        <v>-84.357200000000006</v>
      </c>
      <c r="H956">
        <v>-6</v>
      </c>
      <c r="I956">
        <v>220.1</v>
      </c>
      <c r="J956" t="str">
        <f>HYPERLINK("https://climate.onebuilding.org/WMO_Region_4_North_and_Central_America/USA_United_States_of_America/MI_Michigan/USA_MI_Sault.Ste.Marie-Sanderson.Field.AP.727340_US.Normals.2006-2020.zip")</f>
        <v>https://climate.onebuilding.org/WMO_Region_4_North_and_Central_America/USA_United_States_of_America/MI_Michigan/USA_MI_Sault.Ste.Marie-Sanderson.Field.AP.727340_US.Normals.2006-2020.zip</v>
      </c>
    </row>
    <row r="957" spans="1:10" x14ac:dyDescent="0.25">
      <c r="A957" t="s">
        <v>35</v>
      </c>
      <c r="B957" t="s">
        <v>584</v>
      </c>
      <c r="C957" t="s">
        <v>615</v>
      </c>
      <c r="D957" s="2">
        <v>726387</v>
      </c>
      <c r="E957" t="s">
        <v>13</v>
      </c>
      <c r="F957">
        <v>44.7408</v>
      </c>
      <c r="G957">
        <v>-85.582499999999996</v>
      </c>
      <c r="H957">
        <v>-6</v>
      </c>
      <c r="I957">
        <v>188.4</v>
      </c>
      <c r="J957" t="str">
        <f>HYPERLINK("https://climate.onebuilding.org/WMO_Region_4_North_and_Central_America/USA_United_States_of_America/MI_Michigan/USA_MI_Traverse.City-Cherry.Capital.AP.726387_US.Normals.1981-2010.zip")</f>
        <v>https://climate.onebuilding.org/WMO_Region_4_North_and_Central_America/USA_United_States_of_America/MI_Michigan/USA_MI_Traverse.City-Cherry.Capital.AP.726387_US.Normals.1981-2010.zip</v>
      </c>
    </row>
    <row r="958" spans="1:10" x14ac:dyDescent="0.25">
      <c r="A958" t="s">
        <v>35</v>
      </c>
      <c r="B958" t="s">
        <v>584</v>
      </c>
      <c r="C958" t="s">
        <v>615</v>
      </c>
      <c r="D958" s="2">
        <v>726387</v>
      </c>
      <c r="E958" t="s">
        <v>13</v>
      </c>
      <c r="F958">
        <v>44.7408</v>
      </c>
      <c r="G958">
        <v>-85.582499999999996</v>
      </c>
      <c r="H958">
        <v>-6</v>
      </c>
      <c r="I958">
        <v>188.4</v>
      </c>
      <c r="J958" t="str">
        <f>HYPERLINK("https://climate.onebuilding.org/WMO_Region_4_North_and_Central_America/USA_United_States_of_America/MI_Michigan/USA_MI_Traverse.City-Cherry.Capital.AP.726387_US.Normals.1991-2020.zip")</f>
        <v>https://climate.onebuilding.org/WMO_Region_4_North_and_Central_America/USA_United_States_of_America/MI_Michigan/USA_MI_Traverse.City-Cherry.Capital.AP.726387_US.Normals.1991-2020.zip</v>
      </c>
    </row>
    <row r="959" spans="1:10" x14ac:dyDescent="0.25">
      <c r="A959" t="s">
        <v>35</v>
      </c>
      <c r="B959" t="s">
        <v>584</v>
      </c>
      <c r="C959" t="s">
        <v>615</v>
      </c>
      <c r="D959" s="2">
        <v>726387</v>
      </c>
      <c r="E959" t="s">
        <v>13</v>
      </c>
      <c r="F959">
        <v>44.7408</v>
      </c>
      <c r="G959">
        <v>-85.582499999999996</v>
      </c>
      <c r="H959">
        <v>-6</v>
      </c>
      <c r="I959">
        <v>188.4</v>
      </c>
      <c r="J959" t="str">
        <f>HYPERLINK("https://climate.onebuilding.org/WMO_Region_4_North_and_Central_America/USA_United_States_of_America/MI_Michigan/USA_MI_Traverse.City-Cherry.Capital.AP.726387_US.Normals.2006-2020.zip")</f>
        <v>https://climate.onebuilding.org/WMO_Region_4_North_and_Central_America/USA_United_States_of_America/MI_Michigan/USA_MI_Traverse.City-Cherry.Capital.AP.726387_US.Normals.2006-2020.zip</v>
      </c>
    </row>
    <row r="960" spans="1:10" x14ac:dyDescent="0.25">
      <c r="A960" t="s">
        <v>35</v>
      </c>
      <c r="B960" t="s">
        <v>584</v>
      </c>
      <c r="C960" t="s">
        <v>616</v>
      </c>
      <c r="D960" s="2">
        <v>725376</v>
      </c>
      <c r="E960" t="s">
        <v>13</v>
      </c>
      <c r="F960">
        <v>42.2333</v>
      </c>
      <c r="G960">
        <v>-83.533299999999997</v>
      </c>
      <c r="H960">
        <v>-6</v>
      </c>
      <c r="I960">
        <v>236.8</v>
      </c>
      <c r="J960" t="str">
        <f>HYPERLINK("https://climate.onebuilding.org/WMO_Region_4_North_and_Central_America/USA_United_States_of_America/MI_Michigan/USA_MI_Ypsilanti-Willow.Run.AP.725376_US.Normals.1991-2020.zip")</f>
        <v>https://climate.onebuilding.org/WMO_Region_4_North_and_Central_America/USA_United_States_of_America/MI_Michigan/USA_MI_Ypsilanti-Willow.Run.AP.725376_US.Normals.1991-2020.zip</v>
      </c>
    </row>
    <row r="961" spans="1:10" x14ac:dyDescent="0.25">
      <c r="A961" t="s">
        <v>35</v>
      </c>
      <c r="B961" t="s">
        <v>584</v>
      </c>
      <c r="C961" t="s">
        <v>616</v>
      </c>
      <c r="D961" s="2">
        <v>725376</v>
      </c>
      <c r="E961" t="s">
        <v>13</v>
      </c>
      <c r="F961">
        <v>42.2333</v>
      </c>
      <c r="G961">
        <v>-83.533299999999997</v>
      </c>
      <c r="H961">
        <v>-6</v>
      </c>
      <c r="I961">
        <v>236.8</v>
      </c>
      <c r="J961" t="str">
        <f>HYPERLINK("https://climate.onebuilding.org/WMO_Region_4_North_and_Central_America/USA_United_States_of_America/MI_Michigan/USA_MI_Ypsilanti-Willow.Run.AP.725376_US.Normals.2006-2020.zip")</f>
        <v>https://climate.onebuilding.org/WMO_Region_4_North_and_Central_America/USA_United_States_of_America/MI_Michigan/USA_MI_Ypsilanti-Willow.Run.AP.725376_US.Normals.2006-2020.zip</v>
      </c>
    </row>
    <row r="962" spans="1:10" x14ac:dyDescent="0.25">
      <c r="A962" t="s">
        <v>35</v>
      </c>
      <c r="B962" t="s">
        <v>617</v>
      </c>
      <c r="C962" t="s">
        <v>618</v>
      </c>
      <c r="D962" s="2">
        <v>726470</v>
      </c>
      <c r="E962" t="s">
        <v>13</v>
      </c>
      <c r="F962">
        <v>48.305599999999998</v>
      </c>
      <c r="G962">
        <v>-95.874399999999994</v>
      </c>
      <c r="H962">
        <v>-6</v>
      </c>
      <c r="I962">
        <v>350.5</v>
      </c>
      <c r="J962" t="str">
        <f>HYPERLINK("https://climate.onebuilding.org/WMO_Region_4_North_and_Central_America/USA_United_States_of_America/MN_Minnesota/USA_MN_Agassiz.Natl.Wildlife.Refuge.726470_US.Normals.2006-2020.zip")</f>
        <v>https://climate.onebuilding.org/WMO_Region_4_North_and_Central_America/USA_United_States_of_America/MN_Minnesota/USA_MN_Agassiz.Natl.Wildlife.Refuge.726470_US.Normals.2006-2020.zip</v>
      </c>
    </row>
    <row r="963" spans="1:10" x14ac:dyDescent="0.25">
      <c r="A963" t="s">
        <v>35</v>
      </c>
      <c r="B963" t="s">
        <v>617</v>
      </c>
      <c r="C963" t="s">
        <v>619</v>
      </c>
      <c r="D963" s="2">
        <v>726557</v>
      </c>
      <c r="E963" t="s">
        <v>13</v>
      </c>
      <c r="F963">
        <v>45.867800000000003</v>
      </c>
      <c r="G963">
        <v>-95.394199999999998</v>
      </c>
      <c r="H963">
        <v>-6</v>
      </c>
      <c r="I963">
        <v>431.6</v>
      </c>
      <c r="J963" t="str">
        <f>HYPERLINK("https://climate.onebuilding.org/WMO_Region_4_North_and_Central_America/USA_United_States_of_America/MN_Minnesota/USA_MN_Alexandria.Muni.AP-Chandler.Field.726557_US.Normals.1981-2010.zip")</f>
        <v>https://climate.onebuilding.org/WMO_Region_4_North_and_Central_America/USA_United_States_of_America/MN_Minnesota/USA_MN_Alexandria.Muni.AP-Chandler.Field.726557_US.Normals.1981-2010.zip</v>
      </c>
    </row>
    <row r="964" spans="1:10" x14ac:dyDescent="0.25">
      <c r="A964" t="s">
        <v>35</v>
      </c>
      <c r="B964" t="s">
        <v>617</v>
      </c>
      <c r="C964" t="s">
        <v>619</v>
      </c>
      <c r="D964" s="2">
        <v>726557</v>
      </c>
      <c r="E964" t="s">
        <v>13</v>
      </c>
      <c r="F964">
        <v>45.867800000000003</v>
      </c>
      <c r="G964">
        <v>-95.394199999999998</v>
      </c>
      <c r="H964">
        <v>-6</v>
      </c>
      <c r="I964">
        <v>431.6</v>
      </c>
      <c r="J964" t="str">
        <f>HYPERLINK("https://climate.onebuilding.org/WMO_Region_4_North_and_Central_America/USA_United_States_of_America/MN_Minnesota/USA_MN_Alexandria.Muni.AP-Chandler.Field.726557_US.Normals.1991-2020.zip")</f>
        <v>https://climate.onebuilding.org/WMO_Region_4_North_and_Central_America/USA_United_States_of_America/MN_Minnesota/USA_MN_Alexandria.Muni.AP-Chandler.Field.726557_US.Normals.1991-2020.zip</v>
      </c>
    </row>
    <row r="965" spans="1:10" x14ac:dyDescent="0.25">
      <c r="A965" t="s">
        <v>35</v>
      </c>
      <c r="B965" t="s">
        <v>617</v>
      </c>
      <c r="C965" t="s">
        <v>619</v>
      </c>
      <c r="D965" s="2">
        <v>726557</v>
      </c>
      <c r="E965" t="s">
        <v>13</v>
      </c>
      <c r="F965">
        <v>45.867800000000003</v>
      </c>
      <c r="G965">
        <v>-95.394199999999998</v>
      </c>
      <c r="H965">
        <v>-6</v>
      </c>
      <c r="I965">
        <v>431.6</v>
      </c>
      <c r="J965" t="str">
        <f>HYPERLINK("https://climate.onebuilding.org/WMO_Region_4_North_and_Central_America/USA_United_States_of_America/MN_Minnesota/USA_MN_Alexandria.Muni.AP-Chandler.Field.726557_US.Normals.2006-2020.zip")</f>
        <v>https://climate.onebuilding.org/WMO_Region_4_North_and_Central_America/USA_United_States_of_America/MN_Minnesota/USA_MN_Alexandria.Muni.AP-Chandler.Field.726557_US.Normals.2006-2020.zip</v>
      </c>
    </row>
    <row r="966" spans="1:10" x14ac:dyDescent="0.25">
      <c r="A966" t="s">
        <v>35</v>
      </c>
      <c r="B966" t="s">
        <v>617</v>
      </c>
      <c r="C966" t="s">
        <v>620</v>
      </c>
      <c r="D966" s="2">
        <v>727476</v>
      </c>
      <c r="E966" t="s">
        <v>13</v>
      </c>
      <c r="F966">
        <v>48.716700000000003</v>
      </c>
      <c r="G966">
        <v>-94.6</v>
      </c>
      <c r="H966">
        <v>-6</v>
      </c>
      <c r="I966">
        <v>329.8</v>
      </c>
      <c r="J966" t="str">
        <f>HYPERLINK("https://climate.onebuilding.org/WMO_Region_4_North_and_Central_America/USA_United_States_of_America/MN_Minnesota/USA_MN_Baudette.Intl.AP.727476_US.Normals.1991-2020.zip")</f>
        <v>https://climate.onebuilding.org/WMO_Region_4_North_and_Central_America/USA_United_States_of_America/MN_Minnesota/USA_MN_Baudette.Intl.AP.727476_US.Normals.1991-2020.zip</v>
      </c>
    </row>
    <row r="967" spans="1:10" x14ac:dyDescent="0.25">
      <c r="A967" t="s">
        <v>35</v>
      </c>
      <c r="B967" t="s">
        <v>617</v>
      </c>
      <c r="C967" t="s">
        <v>620</v>
      </c>
      <c r="D967" s="2">
        <v>727476</v>
      </c>
      <c r="E967" t="s">
        <v>13</v>
      </c>
      <c r="F967">
        <v>48.716700000000003</v>
      </c>
      <c r="G967">
        <v>-94.6</v>
      </c>
      <c r="H967">
        <v>-6</v>
      </c>
      <c r="I967">
        <v>329.8</v>
      </c>
      <c r="J967" t="str">
        <f>HYPERLINK("https://climate.onebuilding.org/WMO_Region_4_North_and_Central_America/USA_United_States_of_America/MN_Minnesota/USA_MN_Baudette.Intl.AP.727476_US.Normals.2006-2020.zip")</f>
        <v>https://climate.onebuilding.org/WMO_Region_4_North_and_Central_America/USA_United_States_of_America/MN_Minnesota/USA_MN_Baudette.Intl.AP.727476_US.Normals.2006-2020.zip</v>
      </c>
    </row>
    <row r="968" spans="1:10" x14ac:dyDescent="0.25">
      <c r="A968" t="s">
        <v>35</v>
      </c>
      <c r="B968" t="s">
        <v>617</v>
      </c>
      <c r="C968" t="s">
        <v>621</v>
      </c>
      <c r="D968" s="2">
        <v>726555</v>
      </c>
      <c r="E968" t="s">
        <v>13</v>
      </c>
      <c r="F968">
        <v>46.404699999999998</v>
      </c>
      <c r="G968">
        <v>-94.130799999999994</v>
      </c>
      <c r="H968">
        <v>-6</v>
      </c>
      <c r="I968">
        <v>372.2</v>
      </c>
      <c r="J968" t="str">
        <f>HYPERLINK("https://climate.onebuilding.org/WMO_Region_4_North_and_Central_America/USA_United_States_of_America/MN_Minnesota/USA_MN_Brainerd.Lakes.Rgnl.AP.726555_US.Normals.1991-2020.zip")</f>
        <v>https://climate.onebuilding.org/WMO_Region_4_North_and_Central_America/USA_United_States_of_America/MN_Minnesota/USA_MN_Brainerd.Lakes.Rgnl.AP.726555_US.Normals.1991-2020.zip</v>
      </c>
    </row>
    <row r="969" spans="1:10" x14ac:dyDescent="0.25">
      <c r="A969" t="s">
        <v>35</v>
      </c>
      <c r="B969" t="s">
        <v>617</v>
      </c>
      <c r="C969" t="s">
        <v>621</v>
      </c>
      <c r="D969" s="2">
        <v>726555</v>
      </c>
      <c r="E969" t="s">
        <v>13</v>
      </c>
      <c r="F969">
        <v>46.404699999999998</v>
      </c>
      <c r="G969">
        <v>-94.130799999999994</v>
      </c>
      <c r="H969">
        <v>-6</v>
      </c>
      <c r="I969">
        <v>372.2</v>
      </c>
      <c r="J969" t="str">
        <f>HYPERLINK("https://climate.onebuilding.org/WMO_Region_4_North_and_Central_America/USA_United_States_of_America/MN_Minnesota/USA_MN_Brainerd.Lakes.Rgnl.AP.726555_US.Normals.2006-2020.zip")</f>
        <v>https://climate.onebuilding.org/WMO_Region_4_North_and_Central_America/USA_United_States_of_America/MN_Minnesota/USA_MN_Brainerd.Lakes.Rgnl.AP.726555_US.Normals.2006-2020.zip</v>
      </c>
    </row>
    <row r="970" spans="1:10" x14ac:dyDescent="0.25">
      <c r="A970" t="s">
        <v>35</v>
      </c>
      <c r="B970" t="s">
        <v>617</v>
      </c>
      <c r="C970" t="s">
        <v>622</v>
      </c>
      <c r="D970" s="2">
        <v>727455</v>
      </c>
      <c r="E970" t="s">
        <v>13</v>
      </c>
      <c r="F970">
        <v>47.386400000000002</v>
      </c>
      <c r="G970">
        <v>-92.838899999999995</v>
      </c>
      <c r="H970">
        <v>-6</v>
      </c>
      <c r="I970">
        <v>412.1</v>
      </c>
      <c r="J970" t="str">
        <f>HYPERLINK("https://climate.onebuilding.org/WMO_Region_4_North_and_Central_America/USA_United_States_of_America/MN_Minnesota/USA_MN_Chisholm-Hibbing-Range.Rgnl.AP.727455_US.Normals.1981-2010.zip")</f>
        <v>https://climate.onebuilding.org/WMO_Region_4_North_and_Central_America/USA_United_States_of_America/MN_Minnesota/USA_MN_Chisholm-Hibbing-Range.Rgnl.AP.727455_US.Normals.1981-2010.zip</v>
      </c>
    </row>
    <row r="971" spans="1:10" x14ac:dyDescent="0.25">
      <c r="A971" t="s">
        <v>35</v>
      </c>
      <c r="B971" t="s">
        <v>617</v>
      </c>
      <c r="C971" t="s">
        <v>622</v>
      </c>
      <c r="D971" s="2">
        <v>727455</v>
      </c>
      <c r="E971" t="s">
        <v>13</v>
      </c>
      <c r="F971">
        <v>47.386400000000002</v>
      </c>
      <c r="G971">
        <v>-92.838899999999995</v>
      </c>
      <c r="H971">
        <v>-6</v>
      </c>
      <c r="I971">
        <v>412.1</v>
      </c>
      <c r="J971" t="str">
        <f>HYPERLINK("https://climate.onebuilding.org/WMO_Region_4_North_and_Central_America/USA_United_States_of_America/MN_Minnesota/USA_MN_Chisholm-Hibbing-Range.Rgnl.AP.727455_US.Normals.1991-2020.zip")</f>
        <v>https://climate.onebuilding.org/WMO_Region_4_North_and_Central_America/USA_United_States_of_America/MN_Minnesota/USA_MN_Chisholm-Hibbing-Range.Rgnl.AP.727455_US.Normals.1991-2020.zip</v>
      </c>
    </row>
    <row r="972" spans="1:10" x14ac:dyDescent="0.25">
      <c r="A972" t="s">
        <v>35</v>
      </c>
      <c r="B972" t="s">
        <v>617</v>
      </c>
      <c r="C972" t="s">
        <v>622</v>
      </c>
      <c r="D972" s="2">
        <v>727455</v>
      </c>
      <c r="E972" t="s">
        <v>13</v>
      </c>
      <c r="F972">
        <v>47.386400000000002</v>
      </c>
      <c r="G972">
        <v>-92.838899999999995</v>
      </c>
      <c r="H972">
        <v>-6</v>
      </c>
      <c r="I972">
        <v>412.1</v>
      </c>
      <c r="J972" t="str">
        <f>HYPERLINK("https://climate.onebuilding.org/WMO_Region_4_North_and_Central_America/USA_United_States_of_America/MN_Minnesota/USA_MN_Chisholm-Hibbing-Range.Rgnl.AP.727455_US.Normals.2006-2020.zip")</f>
        <v>https://climate.onebuilding.org/WMO_Region_4_North_and_Central_America/USA_United_States_of_America/MN_Minnesota/USA_MN_Chisholm-Hibbing-Range.Rgnl.AP.727455_US.Normals.2006-2020.zip</v>
      </c>
    </row>
    <row r="973" spans="1:10" x14ac:dyDescent="0.25">
      <c r="A973" t="s">
        <v>35</v>
      </c>
      <c r="B973" t="s">
        <v>617</v>
      </c>
      <c r="C973" t="s">
        <v>623</v>
      </c>
      <c r="D973" s="2">
        <v>727450</v>
      </c>
      <c r="E973" t="s">
        <v>13</v>
      </c>
      <c r="F973">
        <v>46.8369</v>
      </c>
      <c r="G973">
        <v>-92.209699999999998</v>
      </c>
      <c r="H973">
        <v>-6</v>
      </c>
      <c r="I973">
        <v>435.3</v>
      </c>
      <c r="J973" t="str">
        <f>HYPERLINK("https://climate.onebuilding.org/WMO_Region_4_North_and_Central_America/USA_United_States_of_America/MN_Minnesota/USA_MN_Duluth.Intl.AP-Duluth.ANGB.727450_US.Normals.1981-2010.zip")</f>
        <v>https://climate.onebuilding.org/WMO_Region_4_North_and_Central_America/USA_United_States_of_America/MN_Minnesota/USA_MN_Duluth.Intl.AP-Duluth.ANGB.727450_US.Normals.1981-2010.zip</v>
      </c>
    </row>
    <row r="974" spans="1:10" x14ac:dyDescent="0.25">
      <c r="A974" t="s">
        <v>35</v>
      </c>
      <c r="B974" t="s">
        <v>617</v>
      </c>
      <c r="C974" t="s">
        <v>623</v>
      </c>
      <c r="D974" s="2">
        <v>727450</v>
      </c>
      <c r="E974" t="s">
        <v>13</v>
      </c>
      <c r="F974">
        <v>46.8369</v>
      </c>
      <c r="G974">
        <v>-92.209699999999998</v>
      </c>
      <c r="H974">
        <v>-6</v>
      </c>
      <c r="I974">
        <v>435.3</v>
      </c>
      <c r="J974" t="str">
        <f>HYPERLINK("https://climate.onebuilding.org/WMO_Region_4_North_and_Central_America/USA_United_States_of_America/MN_Minnesota/USA_MN_Duluth.Intl.AP-Duluth.ANGB.727450_US.Normals.1991-2020.zip")</f>
        <v>https://climate.onebuilding.org/WMO_Region_4_North_and_Central_America/USA_United_States_of_America/MN_Minnesota/USA_MN_Duluth.Intl.AP-Duluth.ANGB.727450_US.Normals.1991-2020.zip</v>
      </c>
    </row>
    <row r="975" spans="1:10" x14ac:dyDescent="0.25">
      <c r="A975" t="s">
        <v>35</v>
      </c>
      <c r="B975" t="s">
        <v>617</v>
      </c>
      <c r="C975" t="s">
        <v>623</v>
      </c>
      <c r="D975" s="2">
        <v>727450</v>
      </c>
      <c r="E975" t="s">
        <v>13</v>
      </c>
      <c r="F975">
        <v>46.8369</v>
      </c>
      <c r="G975">
        <v>-92.209699999999998</v>
      </c>
      <c r="H975">
        <v>-6</v>
      </c>
      <c r="I975">
        <v>435.3</v>
      </c>
      <c r="J975" t="str">
        <f>HYPERLINK("https://climate.onebuilding.org/WMO_Region_4_North_and_Central_America/USA_United_States_of_America/MN_Minnesota/USA_MN_Duluth.Intl.AP-Duluth.ANGB.727450_US.Normals.2006-2020.zip")</f>
        <v>https://climate.onebuilding.org/WMO_Region_4_North_and_Central_America/USA_United_States_of_America/MN_Minnesota/USA_MN_Duluth.Intl.AP-Duluth.ANGB.727450_US.Normals.2006-2020.zip</v>
      </c>
    </row>
    <row r="976" spans="1:10" x14ac:dyDescent="0.25">
      <c r="A976" t="s">
        <v>35</v>
      </c>
      <c r="B976" t="s">
        <v>617</v>
      </c>
      <c r="C976" t="s">
        <v>624</v>
      </c>
      <c r="D976" s="2">
        <v>726579</v>
      </c>
      <c r="E976" t="s">
        <v>13</v>
      </c>
      <c r="F976">
        <v>44.8322</v>
      </c>
      <c r="G976">
        <v>-93.470600000000005</v>
      </c>
      <c r="H976">
        <v>-6</v>
      </c>
      <c r="I976">
        <v>276.5</v>
      </c>
      <c r="J976" t="str">
        <f>HYPERLINK("https://climate.onebuilding.org/WMO_Region_4_North_and_Central_America/USA_United_States_of_America/MN_Minnesota/USA_MN_Eden.Prairie-Flying.Cloud.AP.726579_US.Normals.2006-2020.zip")</f>
        <v>https://climate.onebuilding.org/WMO_Region_4_North_and_Central_America/USA_United_States_of_America/MN_Minnesota/USA_MN_Eden.Prairie-Flying.Cloud.AP.726579_US.Normals.2006-2020.zip</v>
      </c>
    </row>
    <row r="977" spans="1:10" x14ac:dyDescent="0.25">
      <c r="A977" t="s">
        <v>35</v>
      </c>
      <c r="B977" t="s">
        <v>617</v>
      </c>
      <c r="C977" t="s">
        <v>625</v>
      </c>
      <c r="D977" s="2">
        <v>997259</v>
      </c>
      <c r="E977" t="s">
        <v>13</v>
      </c>
      <c r="F977">
        <v>47.747199999999999</v>
      </c>
      <c r="G977">
        <v>-90.344399999999993</v>
      </c>
      <c r="H977">
        <v>-6</v>
      </c>
      <c r="I977">
        <v>185.9</v>
      </c>
      <c r="J977" t="str">
        <f>HYPERLINK("https://climate.onebuilding.org/WMO_Region_4_North_and_Central_America/USA_United_States_of_America/MN_Minnesota/USA_MN_Grand.Marais.Harbor.997259_US.Normals.2006-2020.zip")</f>
        <v>https://climate.onebuilding.org/WMO_Region_4_North_and_Central_America/USA_United_States_of_America/MN_Minnesota/USA_MN_Grand.Marais.Harbor.997259_US.Normals.2006-2020.zip</v>
      </c>
    </row>
    <row r="978" spans="1:10" x14ac:dyDescent="0.25">
      <c r="A978" t="s">
        <v>35</v>
      </c>
      <c r="B978" t="s">
        <v>617</v>
      </c>
      <c r="C978" t="s">
        <v>626</v>
      </c>
      <c r="D978" s="2">
        <v>727470</v>
      </c>
      <c r="E978" t="s">
        <v>13</v>
      </c>
      <c r="F978">
        <v>48.561399999999999</v>
      </c>
      <c r="G978">
        <v>-93.398099999999999</v>
      </c>
      <c r="H978">
        <v>-6</v>
      </c>
      <c r="I978">
        <v>360.6</v>
      </c>
      <c r="J978" t="str">
        <f>HYPERLINK("https://climate.onebuilding.org/WMO_Region_4_North_and_Central_America/USA_United_States_of_America/MN_Minnesota/USA_MN_International.Falls-Falls.Intl.AP.727470_US.Normals.1981-2010.zip")</f>
        <v>https://climate.onebuilding.org/WMO_Region_4_North_and_Central_America/USA_United_States_of_America/MN_Minnesota/USA_MN_International.Falls-Falls.Intl.AP.727470_US.Normals.1981-2010.zip</v>
      </c>
    </row>
    <row r="979" spans="1:10" x14ac:dyDescent="0.25">
      <c r="A979" t="s">
        <v>35</v>
      </c>
      <c r="B979" t="s">
        <v>617</v>
      </c>
      <c r="C979" t="s">
        <v>626</v>
      </c>
      <c r="D979" s="2">
        <v>727470</v>
      </c>
      <c r="E979" t="s">
        <v>13</v>
      </c>
      <c r="F979">
        <v>48.561399999999999</v>
      </c>
      <c r="G979">
        <v>-93.398099999999999</v>
      </c>
      <c r="H979">
        <v>-6</v>
      </c>
      <c r="I979">
        <v>360.6</v>
      </c>
      <c r="J979" t="str">
        <f>HYPERLINK("https://climate.onebuilding.org/WMO_Region_4_North_and_Central_America/USA_United_States_of_America/MN_Minnesota/USA_MN_International.Falls-Falls.Intl.AP.727470_US.Normals.1991-2020.zip")</f>
        <v>https://climate.onebuilding.org/WMO_Region_4_North_and_Central_America/USA_United_States_of_America/MN_Minnesota/USA_MN_International.Falls-Falls.Intl.AP.727470_US.Normals.1991-2020.zip</v>
      </c>
    </row>
    <row r="980" spans="1:10" x14ac:dyDescent="0.25">
      <c r="A980" t="s">
        <v>35</v>
      </c>
      <c r="B980" t="s">
        <v>617</v>
      </c>
      <c r="C980" t="s">
        <v>626</v>
      </c>
      <c r="D980" s="2">
        <v>727470</v>
      </c>
      <c r="E980" t="s">
        <v>13</v>
      </c>
      <c r="F980">
        <v>48.561399999999999</v>
      </c>
      <c r="G980">
        <v>-93.398099999999999</v>
      </c>
      <c r="H980">
        <v>-6</v>
      </c>
      <c r="I980">
        <v>360.6</v>
      </c>
      <c r="J980" t="str">
        <f>HYPERLINK("https://climate.onebuilding.org/WMO_Region_4_North_and_Central_America/USA_United_States_of_America/MN_Minnesota/USA_MN_International.Falls-Falls.Intl.AP.727470_US.Normals.2006-2020.zip")</f>
        <v>https://climate.onebuilding.org/WMO_Region_4_North_and_Central_America/USA_United_States_of_America/MN_Minnesota/USA_MN_International.Falls-Falls.Intl.AP.727470_US.Normals.2006-2020.zip</v>
      </c>
    </row>
    <row r="981" spans="1:10" x14ac:dyDescent="0.25">
      <c r="A981" t="s">
        <v>35</v>
      </c>
      <c r="B981" t="s">
        <v>617</v>
      </c>
      <c r="C981" t="s">
        <v>627</v>
      </c>
      <c r="D981" s="2">
        <v>726575</v>
      </c>
      <c r="E981" t="s">
        <v>13</v>
      </c>
      <c r="F981">
        <v>45.061900000000001</v>
      </c>
      <c r="G981">
        <v>-93.350800000000007</v>
      </c>
      <c r="H981">
        <v>-6</v>
      </c>
      <c r="I981">
        <v>262.39999999999998</v>
      </c>
      <c r="J981" t="str">
        <f>HYPERLINK("https://climate.onebuilding.org/WMO_Region_4_North_and_Central_America/USA_United_States_of_America/MN_Minnesota/USA_MN_Minneapolis-Crystal.AP.726575_US.Normals.2006-2020.zip")</f>
        <v>https://climate.onebuilding.org/WMO_Region_4_North_and_Central_America/USA_United_States_of_America/MN_Minnesota/USA_MN_Minneapolis-Crystal.AP.726575_US.Normals.2006-2020.zip</v>
      </c>
    </row>
    <row r="982" spans="1:10" x14ac:dyDescent="0.25">
      <c r="A982" t="s">
        <v>35</v>
      </c>
      <c r="B982" t="s">
        <v>617</v>
      </c>
      <c r="C982" t="s">
        <v>628</v>
      </c>
      <c r="D982" s="2">
        <v>726580</v>
      </c>
      <c r="E982" t="s">
        <v>13</v>
      </c>
      <c r="F982">
        <v>44.883099999999999</v>
      </c>
      <c r="G982">
        <v>-93.228899999999996</v>
      </c>
      <c r="H982">
        <v>-6</v>
      </c>
      <c r="I982">
        <v>265.8</v>
      </c>
      <c r="J982" t="str">
        <f>HYPERLINK("https://climate.onebuilding.org/WMO_Region_4_North_and_Central_America/USA_United_States_of_America/MN_Minnesota/USA_MN_Minneapolis-St.Paul.Intl.AP.726580_US.Normals.1981-2010.zip")</f>
        <v>https://climate.onebuilding.org/WMO_Region_4_North_and_Central_America/USA_United_States_of_America/MN_Minnesota/USA_MN_Minneapolis-St.Paul.Intl.AP.726580_US.Normals.1981-2010.zip</v>
      </c>
    </row>
    <row r="983" spans="1:10" x14ac:dyDescent="0.25">
      <c r="A983" t="s">
        <v>35</v>
      </c>
      <c r="B983" t="s">
        <v>617</v>
      </c>
      <c r="C983" t="s">
        <v>628</v>
      </c>
      <c r="D983" s="2">
        <v>726580</v>
      </c>
      <c r="E983" t="s">
        <v>13</v>
      </c>
      <c r="F983">
        <v>44.883099999999999</v>
      </c>
      <c r="G983">
        <v>-93.228899999999996</v>
      </c>
      <c r="H983">
        <v>-6</v>
      </c>
      <c r="I983">
        <v>265.8</v>
      </c>
      <c r="J983" t="str">
        <f>HYPERLINK("https://climate.onebuilding.org/WMO_Region_4_North_and_Central_America/USA_United_States_of_America/MN_Minnesota/USA_MN_Minneapolis-St.Paul.Intl.AP.726580_US.Normals.1991-2020.zip")</f>
        <v>https://climate.onebuilding.org/WMO_Region_4_North_and_Central_America/USA_United_States_of_America/MN_Minnesota/USA_MN_Minneapolis-St.Paul.Intl.AP.726580_US.Normals.1991-2020.zip</v>
      </c>
    </row>
    <row r="984" spans="1:10" x14ac:dyDescent="0.25">
      <c r="A984" t="s">
        <v>35</v>
      </c>
      <c r="B984" t="s">
        <v>617</v>
      </c>
      <c r="C984" t="s">
        <v>628</v>
      </c>
      <c r="D984" s="2">
        <v>726580</v>
      </c>
      <c r="E984" t="s">
        <v>13</v>
      </c>
      <c r="F984">
        <v>44.883099999999999</v>
      </c>
      <c r="G984">
        <v>-93.228899999999996</v>
      </c>
      <c r="H984">
        <v>-6</v>
      </c>
      <c r="I984">
        <v>265.8</v>
      </c>
      <c r="J984" t="str">
        <f>HYPERLINK("https://climate.onebuilding.org/WMO_Region_4_North_and_Central_America/USA_United_States_of_America/MN_Minnesota/USA_MN_Minneapolis-St.Paul.Intl.AP.726580_US.Normals.2006-2020.zip")</f>
        <v>https://climate.onebuilding.org/WMO_Region_4_North_and_Central_America/USA_United_States_of_America/MN_Minnesota/USA_MN_Minneapolis-St.Paul.Intl.AP.726580_US.Normals.2006-2020.zip</v>
      </c>
    </row>
    <row r="985" spans="1:10" x14ac:dyDescent="0.25">
      <c r="A985" t="s">
        <v>35</v>
      </c>
      <c r="B985" t="s">
        <v>617</v>
      </c>
      <c r="C985" t="s">
        <v>629</v>
      </c>
      <c r="D985" s="2">
        <v>727453</v>
      </c>
      <c r="E985" t="s">
        <v>13</v>
      </c>
      <c r="F985">
        <v>46.900599999999997</v>
      </c>
      <c r="G985">
        <v>-95.067800000000005</v>
      </c>
      <c r="H985">
        <v>-6</v>
      </c>
      <c r="I985">
        <v>437.1</v>
      </c>
      <c r="J985" t="str">
        <f>HYPERLINK("https://climate.onebuilding.org/WMO_Region_4_North_and_Central_America/USA_United_States_of_America/MN_Minnesota/USA_MN_Park.Rapids.Muni.AP-Konshok.Field.727453_US.Normals.1991-2020.zip")</f>
        <v>https://climate.onebuilding.org/WMO_Region_4_North_and_Central_America/USA_United_States_of_America/MN_Minnesota/USA_MN_Park.Rapids.Muni.AP-Konshok.Field.727453_US.Normals.1991-2020.zip</v>
      </c>
    </row>
    <row r="986" spans="1:10" x14ac:dyDescent="0.25">
      <c r="A986" t="s">
        <v>35</v>
      </c>
      <c r="B986" t="s">
        <v>617</v>
      </c>
      <c r="C986" t="s">
        <v>629</v>
      </c>
      <c r="D986" s="2">
        <v>727453</v>
      </c>
      <c r="E986" t="s">
        <v>13</v>
      </c>
      <c r="F986">
        <v>46.900599999999997</v>
      </c>
      <c r="G986">
        <v>-95.067800000000005</v>
      </c>
      <c r="H986">
        <v>-6</v>
      </c>
      <c r="I986">
        <v>437.1</v>
      </c>
      <c r="J986" t="str">
        <f>HYPERLINK("https://climate.onebuilding.org/WMO_Region_4_North_and_Central_America/USA_United_States_of_America/MN_Minnesota/USA_MN_Park.Rapids.Muni.AP-Konshok.Field.727453_US.Normals.2006-2020.zip")</f>
        <v>https://climate.onebuilding.org/WMO_Region_4_North_and_Central_America/USA_United_States_of_America/MN_Minnesota/USA_MN_Park.Rapids.Muni.AP-Konshok.Field.727453_US.Normals.2006-2020.zip</v>
      </c>
    </row>
    <row r="987" spans="1:10" x14ac:dyDescent="0.25">
      <c r="A987" t="s">
        <v>35</v>
      </c>
      <c r="B987" t="s">
        <v>617</v>
      </c>
      <c r="C987" t="s">
        <v>630</v>
      </c>
      <c r="D987" s="2">
        <v>726556</v>
      </c>
      <c r="E987" t="s">
        <v>13</v>
      </c>
      <c r="F987">
        <v>44.548299999999998</v>
      </c>
      <c r="G987">
        <v>-95.080299999999994</v>
      </c>
      <c r="H987">
        <v>-6</v>
      </c>
      <c r="I987">
        <v>311.2</v>
      </c>
      <c r="J987" t="str">
        <f>HYPERLINK("https://climate.onebuilding.org/WMO_Region_4_North_and_Central_America/USA_United_States_of_America/MN_Minnesota/USA_MN_Redwood.Falls.Muni.AP.726556_US.Normals.1981-2010.zip")</f>
        <v>https://climate.onebuilding.org/WMO_Region_4_North_and_Central_America/USA_United_States_of_America/MN_Minnesota/USA_MN_Redwood.Falls.Muni.AP.726556_US.Normals.1981-2010.zip</v>
      </c>
    </row>
    <row r="988" spans="1:10" x14ac:dyDescent="0.25">
      <c r="A988" t="s">
        <v>35</v>
      </c>
      <c r="B988" t="s">
        <v>617</v>
      </c>
      <c r="C988" t="s">
        <v>630</v>
      </c>
      <c r="D988" s="2">
        <v>726556</v>
      </c>
      <c r="E988" t="s">
        <v>13</v>
      </c>
      <c r="F988">
        <v>44.548299999999998</v>
      </c>
      <c r="G988">
        <v>-95.080299999999994</v>
      </c>
      <c r="H988">
        <v>-6</v>
      </c>
      <c r="I988">
        <v>311.2</v>
      </c>
      <c r="J988" t="str">
        <f>HYPERLINK("https://climate.onebuilding.org/WMO_Region_4_North_and_Central_America/USA_United_States_of_America/MN_Minnesota/USA_MN_Redwood.Falls.Muni.AP.726556_US.Normals.1991-2020.zip")</f>
        <v>https://climate.onebuilding.org/WMO_Region_4_North_and_Central_America/USA_United_States_of_America/MN_Minnesota/USA_MN_Redwood.Falls.Muni.AP.726556_US.Normals.1991-2020.zip</v>
      </c>
    </row>
    <row r="989" spans="1:10" x14ac:dyDescent="0.25">
      <c r="A989" t="s">
        <v>35</v>
      </c>
      <c r="B989" t="s">
        <v>617</v>
      </c>
      <c r="C989" t="s">
        <v>630</v>
      </c>
      <c r="D989" s="2">
        <v>726556</v>
      </c>
      <c r="E989" t="s">
        <v>13</v>
      </c>
      <c r="F989">
        <v>44.548299999999998</v>
      </c>
      <c r="G989">
        <v>-95.080299999999994</v>
      </c>
      <c r="H989">
        <v>-6</v>
      </c>
      <c r="I989">
        <v>311.2</v>
      </c>
      <c r="J989" t="str">
        <f>HYPERLINK("https://climate.onebuilding.org/WMO_Region_4_North_and_Central_America/USA_United_States_of_America/MN_Minnesota/USA_MN_Redwood.Falls.Muni.AP.726556_US.Normals.2006-2020.zip")</f>
        <v>https://climate.onebuilding.org/WMO_Region_4_North_and_Central_America/USA_United_States_of_America/MN_Minnesota/USA_MN_Redwood.Falls.Muni.AP.726556_US.Normals.2006-2020.zip</v>
      </c>
    </row>
    <row r="990" spans="1:10" x14ac:dyDescent="0.25">
      <c r="A990" t="s">
        <v>35</v>
      </c>
      <c r="B990" t="s">
        <v>617</v>
      </c>
      <c r="C990" t="s">
        <v>631</v>
      </c>
      <c r="D990" s="2">
        <v>726440</v>
      </c>
      <c r="E990" t="s">
        <v>13</v>
      </c>
      <c r="F990">
        <v>43.904200000000003</v>
      </c>
      <c r="G990">
        <v>-92.491699999999994</v>
      </c>
      <c r="H990">
        <v>-6</v>
      </c>
      <c r="I990">
        <v>397.5</v>
      </c>
      <c r="J990" t="str">
        <f>HYPERLINK("https://climate.onebuilding.org/WMO_Region_4_North_and_Central_America/USA_United_States_of_America/MN_Minnesota/USA_MN_Rochester.Intl.AP.726440_US.Normals.1981-2010.zip")</f>
        <v>https://climate.onebuilding.org/WMO_Region_4_North_and_Central_America/USA_United_States_of_America/MN_Minnesota/USA_MN_Rochester.Intl.AP.726440_US.Normals.1981-2010.zip</v>
      </c>
    </row>
    <row r="991" spans="1:10" x14ac:dyDescent="0.25">
      <c r="A991" t="s">
        <v>35</v>
      </c>
      <c r="B991" t="s">
        <v>617</v>
      </c>
      <c r="C991" t="s">
        <v>631</v>
      </c>
      <c r="D991" s="2">
        <v>726440</v>
      </c>
      <c r="E991" t="s">
        <v>13</v>
      </c>
      <c r="F991">
        <v>43.904200000000003</v>
      </c>
      <c r="G991">
        <v>-92.491699999999994</v>
      </c>
      <c r="H991">
        <v>-6</v>
      </c>
      <c r="I991">
        <v>397.5</v>
      </c>
      <c r="J991" t="str">
        <f>HYPERLINK("https://climate.onebuilding.org/WMO_Region_4_North_and_Central_America/USA_United_States_of_America/MN_Minnesota/USA_MN_Rochester.Intl.AP.726440_US.Normals.1991-2020.zip")</f>
        <v>https://climate.onebuilding.org/WMO_Region_4_North_and_Central_America/USA_United_States_of_America/MN_Minnesota/USA_MN_Rochester.Intl.AP.726440_US.Normals.1991-2020.zip</v>
      </c>
    </row>
    <row r="992" spans="1:10" x14ac:dyDescent="0.25">
      <c r="A992" t="s">
        <v>35</v>
      </c>
      <c r="B992" t="s">
        <v>617</v>
      </c>
      <c r="C992" t="s">
        <v>631</v>
      </c>
      <c r="D992" s="2">
        <v>726440</v>
      </c>
      <c r="E992" t="s">
        <v>13</v>
      </c>
      <c r="F992">
        <v>43.904200000000003</v>
      </c>
      <c r="G992">
        <v>-92.491699999999994</v>
      </c>
      <c r="H992">
        <v>-6</v>
      </c>
      <c r="I992">
        <v>397.5</v>
      </c>
      <c r="J992" t="str">
        <f>HYPERLINK("https://climate.onebuilding.org/WMO_Region_4_North_and_Central_America/USA_United_States_of_America/MN_Minnesota/USA_MN_Rochester.Intl.AP.726440_US.Normals.2006-2020.zip")</f>
        <v>https://climate.onebuilding.org/WMO_Region_4_North_and_Central_America/USA_United_States_of_America/MN_Minnesota/USA_MN_Rochester.Intl.AP.726440_US.Normals.2006-2020.zip</v>
      </c>
    </row>
    <row r="993" spans="1:10" x14ac:dyDescent="0.25">
      <c r="A993" t="s">
        <v>35</v>
      </c>
      <c r="B993" t="s">
        <v>617</v>
      </c>
      <c r="C993" t="s">
        <v>632</v>
      </c>
      <c r="D993" s="2">
        <v>726460</v>
      </c>
      <c r="E993" t="s">
        <v>13</v>
      </c>
      <c r="F993">
        <v>46.113599999999998</v>
      </c>
      <c r="G993">
        <v>-92.993600000000001</v>
      </c>
      <c r="H993">
        <v>-6</v>
      </c>
      <c r="I993">
        <v>344.4</v>
      </c>
      <c r="J993" t="str">
        <f>HYPERLINK("https://climate.onebuilding.org/WMO_Region_4_North_and_Central_America/USA_United_States_of_America/MN_Minnesota/USA_MN_Sandstone-Audubon.Center.of.the.North.Woods.726460_US.Normals.2006-2020.zip")</f>
        <v>https://climate.onebuilding.org/WMO_Region_4_North_and_Central_America/USA_United_States_of_America/MN_Minnesota/USA_MN_Sandstone-Audubon.Center.of.the.North.Woods.726460_US.Normals.2006-2020.zip</v>
      </c>
    </row>
    <row r="994" spans="1:10" x14ac:dyDescent="0.25">
      <c r="A994" t="s">
        <v>35</v>
      </c>
      <c r="B994" t="s">
        <v>617</v>
      </c>
      <c r="C994" t="s">
        <v>633</v>
      </c>
      <c r="D994" s="2">
        <v>726550</v>
      </c>
      <c r="E994" t="s">
        <v>13</v>
      </c>
      <c r="F994">
        <v>45.543300000000002</v>
      </c>
      <c r="G994">
        <v>-94.051400000000001</v>
      </c>
      <c r="H994">
        <v>-6</v>
      </c>
      <c r="I994">
        <v>310.3</v>
      </c>
      <c r="J994" t="str">
        <f>HYPERLINK("https://climate.onebuilding.org/WMO_Region_4_North_and_Central_America/USA_United_States_of_America/MN_Minnesota/USA_MN_St.Cloud.Rgnl.AP.726550_US.Normals.1981-2010.zip")</f>
        <v>https://climate.onebuilding.org/WMO_Region_4_North_and_Central_America/USA_United_States_of_America/MN_Minnesota/USA_MN_St.Cloud.Rgnl.AP.726550_US.Normals.1981-2010.zip</v>
      </c>
    </row>
    <row r="995" spans="1:10" x14ac:dyDescent="0.25">
      <c r="A995" t="s">
        <v>35</v>
      </c>
      <c r="B995" t="s">
        <v>617</v>
      </c>
      <c r="C995" t="s">
        <v>633</v>
      </c>
      <c r="D995" s="2">
        <v>726550</v>
      </c>
      <c r="E995" t="s">
        <v>13</v>
      </c>
      <c r="F995">
        <v>45.543300000000002</v>
      </c>
      <c r="G995">
        <v>-94.051400000000001</v>
      </c>
      <c r="H995">
        <v>-6</v>
      </c>
      <c r="I995">
        <v>310.3</v>
      </c>
      <c r="J995" t="str">
        <f>HYPERLINK("https://climate.onebuilding.org/WMO_Region_4_North_and_Central_America/USA_United_States_of_America/MN_Minnesota/USA_MN_St.Cloud.Rgnl.AP.726550_US.Normals.1991-2020.zip")</f>
        <v>https://climate.onebuilding.org/WMO_Region_4_North_and_Central_America/USA_United_States_of_America/MN_Minnesota/USA_MN_St.Cloud.Rgnl.AP.726550_US.Normals.1991-2020.zip</v>
      </c>
    </row>
    <row r="996" spans="1:10" x14ac:dyDescent="0.25">
      <c r="A996" t="s">
        <v>35</v>
      </c>
      <c r="B996" t="s">
        <v>617</v>
      </c>
      <c r="C996" t="s">
        <v>633</v>
      </c>
      <c r="D996" s="2">
        <v>726550</v>
      </c>
      <c r="E996" t="s">
        <v>13</v>
      </c>
      <c r="F996">
        <v>45.543300000000002</v>
      </c>
      <c r="G996">
        <v>-94.051400000000001</v>
      </c>
      <c r="H996">
        <v>-6</v>
      </c>
      <c r="I996">
        <v>310.3</v>
      </c>
      <c r="J996" t="str">
        <f>HYPERLINK("https://climate.onebuilding.org/WMO_Region_4_North_and_Central_America/USA_United_States_of_America/MN_Minnesota/USA_MN_St.Cloud.Rgnl.AP.726550_US.Normals.2006-2020.zip")</f>
        <v>https://climate.onebuilding.org/WMO_Region_4_North_and_Central_America/USA_United_States_of_America/MN_Minnesota/USA_MN_St.Cloud.Rgnl.AP.726550_US.Normals.2006-2020.zip</v>
      </c>
    </row>
    <row r="997" spans="1:10" x14ac:dyDescent="0.25">
      <c r="A997" t="s">
        <v>35</v>
      </c>
      <c r="B997" t="s">
        <v>617</v>
      </c>
      <c r="C997" t="s">
        <v>634</v>
      </c>
      <c r="D997" s="2">
        <v>726584</v>
      </c>
      <c r="E997" t="s">
        <v>13</v>
      </c>
      <c r="F997">
        <v>44.931899999999999</v>
      </c>
      <c r="G997">
        <v>-93.055599999999998</v>
      </c>
      <c r="H997">
        <v>-6</v>
      </c>
      <c r="I997">
        <v>213.4</v>
      </c>
      <c r="J997" t="str">
        <f>HYPERLINK("https://climate.onebuilding.org/WMO_Region_4_North_and_Central_America/USA_United_States_of_America/MN_Minnesota/USA_MN_St.Paul.Downtown.AP-Holman.Field.726584_US.Normals.1991-2020.zip")</f>
        <v>https://climate.onebuilding.org/WMO_Region_4_North_and_Central_America/USA_United_States_of_America/MN_Minnesota/USA_MN_St.Paul.Downtown.AP-Holman.Field.726584_US.Normals.1991-2020.zip</v>
      </c>
    </row>
    <row r="998" spans="1:10" x14ac:dyDescent="0.25">
      <c r="A998" t="s">
        <v>35</v>
      </c>
      <c r="B998" t="s">
        <v>617</v>
      </c>
      <c r="C998" t="s">
        <v>634</v>
      </c>
      <c r="D998" s="2">
        <v>726584</v>
      </c>
      <c r="E998" t="s">
        <v>13</v>
      </c>
      <c r="F998">
        <v>44.931899999999999</v>
      </c>
      <c r="G998">
        <v>-93.055599999999998</v>
      </c>
      <c r="H998">
        <v>-6</v>
      </c>
      <c r="I998">
        <v>213.4</v>
      </c>
      <c r="J998" t="str">
        <f>HYPERLINK("https://climate.onebuilding.org/WMO_Region_4_North_and_Central_America/USA_United_States_of_America/MN_Minnesota/USA_MN_St.Paul.Downtown.AP-Holman.Field.726584_US.Normals.2006-2020.zip")</f>
        <v>https://climate.onebuilding.org/WMO_Region_4_North_and_Central_America/USA_United_States_of_America/MN_Minnesota/USA_MN_St.Paul.Downtown.AP-Holman.Field.726584_US.Normals.2006-2020.zip</v>
      </c>
    </row>
    <row r="999" spans="1:10" x14ac:dyDescent="0.25">
      <c r="A999" t="s">
        <v>35</v>
      </c>
      <c r="B999" t="s">
        <v>617</v>
      </c>
      <c r="C999" t="s">
        <v>635</v>
      </c>
      <c r="D999" s="2">
        <v>726587</v>
      </c>
      <c r="E999" t="s">
        <v>13</v>
      </c>
      <c r="F999">
        <v>43.645000000000003</v>
      </c>
      <c r="G999">
        <v>-95.580299999999994</v>
      </c>
      <c r="H999">
        <v>-6</v>
      </c>
      <c r="I999">
        <v>478.5</v>
      </c>
      <c r="J999" t="str">
        <f>HYPERLINK("https://climate.onebuilding.org/WMO_Region_4_North_and_Central_America/USA_United_States_of_America/MN_Minnesota/USA_MN_Worthington.Muni.AP.726587_US.Normals.2006-2020.zip")</f>
        <v>https://climate.onebuilding.org/WMO_Region_4_North_and_Central_America/USA_United_States_of_America/MN_Minnesota/USA_MN_Worthington.Muni.AP.726587_US.Normals.2006-2020.zip</v>
      </c>
    </row>
    <row r="1000" spans="1:10" x14ac:dyDescent="0.25">
      <c r="A1000" t="s">
        <v>35</v>
      </c>
      <c r="B1000" t="s">
        <v>636</v>
      </c>
      <c r="C1000" t="s">
        <v>637</v>
      </c>
      <c r="D1000" s="2">
        <v>725550</v>
      </c>
      <c r="E1000" t="s">
        <v>13</v>
      </c>
      <c r="F1000">
        <v>39.866700000000002</v>
      </c>
      <c r="G1000">
        <v>-93.146900000000002</v>
      </c>
      <c r="H1000">
        <v>-6</v>
      </c>
      <c r="I1000">
        <v>253.9</v>
      </c>
      <c r="J1000" t="str">
        <f>HYPERLINK("https://climate.onebuilding.org/WMO_Region_4_North_and_Central_America/USA_United_States_of_America/MO_Missouri/USA_MO_Chillicothe-Linneus-Univ.Missouri.Forage.Systems.Research.Center.725550_US.Normals.2006-2020.zip")</f>
        <v>https://climate.onebuilding.org/WMO_Region_4_North_and_Central_America/USA_United_States_of_America/MO_Missouri/USA_MO_Chillicothe-Linneus-Univ.Missouri.Forage.Systems.Research.Center.725550_US.Normals.2006-2020.zip</v>
      </c>
    </row>
    <row r="1001" spans="1:10" x14ac:dyDescent="0.25">
      <c r="A1001" t="s">
        <v>35</v>
      </c>
      <c r="B1001" t="s">
        <v>636</v>
      </c>
      <c r="C1001" t="s">
        <v>638</v>
      </c>
      <c r="D1001" s="2">
        <v>724464</v>
      </c>
      <c r="E1001" t="s">
        <v>13</v>
      </c>
      <c r="F1001">
        <v>39.823300000000003</v>
      </c>
      <c r="G1001">
        <v>-93.5792</v>
      </c>
      <c r="H1001">
        <v>-6</v>
      </c>
      <c r="I1001">
        <v>234.4</v>
      </c>
      <c r="J1001" t="str">
        <f>HYPERLINK("https://climate.onebuilding.org/WMO_Region_4_North_and_Central_America/USA_United_States_of_America/MO_Missouri/USA_MO_Chillicothe-Litton.Agri.Science.Learning.Center.724464_US.Normals.2006-2020.zip")</f>
        <v>https://climate.onebuilding.org/WMO_Region_4_North_and_Central_America/USA_United_States_of_America/MO_Missouri/USA_MO_Chillicothe-Litton.Agri.Science.Learning.Center.724464_US.Normals.2006-2020.zip</v>
      </c>
    </row>
    <row r="1002" spans="1:10" x14ac:dyDescent="0.25">
      <c r="A1002" t="s">
        <v>35</v>
      </c>
      <c r="B1002" t="s">
        <v>636</v>
      </c>
      <c r="C1002" t="s">
        <v>639</v>
      </c>
      <c r="D1002" s="2">
        <v>724450</v>
      </c>
      <c r="E1002" t="s">
        <v>13</v>
      </c>
      <c r="F1002">
        <v>38.816899999999997</v>
      </c>
      <c r="G1002">
        <v>-92.218299999999999</v>
      </c>
      <c r="H1002">
        <v>-6</v>
      </c>
      <c r="I1002">
        <v>272.2</v>
      </c>
      <c r="J1002" t="str">
        <f>HYPERLINK("https://climate.onebuilding.org/WMO_Region_4_North_and_Central_America/USA_United_States_of_America/MO_Missouri/USA_MO_Columbia.Rgnl.AP.724450_US.Normals.1981-2010.zip")</f>
        <v>https://climate.onebuilding.org/WMO_Region_4_North_and_Central_America/USA_United_States_of_America/MO_Missouri/USA_MO_Columbia.Rgnl.AP.724450_US.Normals.1981-2010.zip</v>
      </c>
    </row>
    <row r="1003" spans="1:10" x14ac:dyDescent="0.25">
      <c r="A1003" t="s">
        <v>35</v>
      </c>
      <c r="B1003" t="s">
        <v>636</v>
      </c>
      <c r="C1003" t="s">
        <v>639</v>
      </c>
      <c r="D1003" s="2">
        <v>724450</v>
      </c>
      <c r="E1003" t="s">
        <v>13</v>
      </c>
      <c r="F1003">
        <v>38.816899999999997</v>
      </c>
      <c r="G1003">
        <v>-92.218299999999999</v>
      </c>
      <c r="H1003">
        <v>-6</v>
      </c>
      <c r="I1003">
        <v>272.2</v>
      </c>
      <c r="J1003" t="str">
        <f>HYPERLINK("https://climate.onebuilding.org/WMO_Region_4_North_and_Central_America/USA_United_States_of_America/MO_Missouri/USA_MO_Columbia.Rgnl.AP.724450_US.Normals.1991-2020.zip")</f>
        <v>https://climate.onebuilding.org/WMO_Region_4_North_and_Central_America/USA_United_States_of_America/MO_Missouri/USA_MO_Columbia.Rgnl.AP.724450_US.Normals.1991-2020.zip</v>
      </c>
    </row>
    <row r="1004" spans="1:10" x14ac:dyDescent="0.25">
      <c r="A1004" t="s">
        <v>35</v>
      </c>
      <c r="B1004" t="s">
        <v>636</v>
      </c>
      <c r="C1004" t="s">
        <v>639</v>
      </c>
      <c r="D1004" s="2">
        <v>724450</v>
      </c>
      <c r="E1004" t="s">
        <v>13</v>
      </c>
      <c r="F1004">
        <v>38.816899999999997</v>
      </c>
      <c r="G1004">
        <v>-92.218299999999999</v>
      </c>
      <c r="H1004">
        <v>-6</v>
      </c>
      <c r="I1004">
        <v>272.2</v>
      </c>
      <c r="J1004" t="str">
        <f>HYPERLINK("https://climate.onebuilding.org/WMO_Region_4_North_and_Central_America/USA_United_States_of_America/MO_Missouri/USA_MO_Columbia.Rgnl.AP.724450_US.Normals.2006-2020.zip")</f>
        <v>https://climate.onebuilding.org/WMO_Region_4_North_and_Central_America/USA_United_States_of_America/MO_Missouri/USA_MO_Columbia.Rgnl.AP.724450_US.Normals.2006-2020.zip</v>
      </c>
    </row>
    <row r="1005" spans="1:10" x14ac:dyDescent="0.25">
      <c r="A1005" t="s">
        <v>35</v>
      </c>
      <c r="B1005" t="s">
        <v>636</v>
      </c>
      <c r="C1005" t="s">
        <v>640</v>
      </c>
      <c r="D1005" s="2">
        <v>724454</v>
      </c>
      <c r="E1005" t="s">
        <v>13</v>
      </c>
      <c r="F1005">
        <v>37.7667</v>
      </c>
      <c r="G1005">
        <v>-90.4</v>
      </c>
      <c r="H1005">
        <v>-6</v>
      </c>
      <c r="I1005">
        <v>274</v>
      </c>
      <c r="J1005" t="str">
        <f>HYPERLINK("https://climate.onebuilding.org/WMO_Region_4_North_and_Central_America/USA_United_States_of_America/MO_Missouri/USA_MO_Farmington.Rgnl.AP.724454_US.Normals.2006-2020.zip")</f>
        <v>https://climate.onebuilding.org/WMO_Region_4_North_and_Central_America/USA_United_States_of_America/MO_Missouri/USA_MO_Farmington.Rgnl.AP.724454_US.Normals.2006-2020.zip</v>
      </c>
    </row>
    <row r="1006" spans="1:10" x14ac:dyDescent="0.25">
      <c r="A1006" t="s">
        <v>35</v>
      </c>
      <c r="B1006" t="s">
        <v>636</v>
      </c>
      <c r="C1006" t="s">
        <v>641</v>
      </c>
      <c r="D1006" s="2">
        <v>724457</v>
      </c>
      <c r="E1006" t="s">
        <v>13</v>
      </c>
      <c r="F1006">
        <v>37.75</v>
      </c>
      <c r="G1006">
        <v>-92.15</v>
      </c>
      <c r="H1006">
        <v>-6</v>
      </c>
      <c r="I1006">
        <v>351.1</v>
      </c>
      <c r="J1006" t="str">
        <f>HYPERLINK("https://climate.onebuilding.org/WMO_Region_4_North_and_Central_America/USA_United_States_of_America/MO_Missouri/USA_MO_Fort.Leonard.Wood-Waynesville-St.Robert.Rgnl.AP.724457_US.Normals.2006-2020.zip")</f>
        <v>https://climate.onebuilding.org/WMO_Region_4_North_and_Central_America/USA_United_States_of_America/MO_Missouri/USA_MO_Fort.Leonard.Wood-Waynesville-St.Robert.Rgnl.AP.724457_US.Normals.2006-2020.zip</v>
      </c>
    </row>
    <row r="1007" spans="1:10" x14ac:dyDescent="0.25">
      <c r="A1007" t="s">
        <v>35</v>
      </c>
      <c r="B1007" t="s">
        <v>636</v>
      </c>
      <c r="C1007" t="s">
        <v>642</v>
      </c>
      <c r="D1007" s="2">
        <v>724458</v>
      </c>
      <c r="E1007" t="s">
        <v>13</v>
      </c>
      <c r="F1007">
        <v>38.591099999999997</v>
      </c>
      <c r="G1007">
        <v>-92.155799999999999</v>
      </c>
      <c r="H1007">
        <v>-6</v>
      </c>
      <c r="I1007">
        <v>174.7</v>
      </c>
      <c r="J1007" t="str">
        <f>HYPERLINK("https://climate.onebuilding.org/WMO_Region_4_North_and_Central_America/USA_United_States_of_America/MO_Missouri/USA_MO_Jefferson.City.Meml.AP.724458_US.Normals.2006-2020.zip")</f>
        <v>https://climate.onebuilding.org/WMO_Region_4_North_and_Central_America/USA_United_States_of_America/MO_Missouri/USA_MO_Jefferson.City.Meml.AP.724458_US.Normals.2006-2020.zip</v>
      </c>
    </row>
    <row r="1008" spans="1:10" x14ac:dyDescent="0.25">
      <c r="A1008" t="s">
        <v>35</v>
      </c>
      <c r="B1008" t="s">
        <v>636</v>
      </c>
      <c r="C1008" t="s">
        <v>643</v>
      </c>
      <c r="D1008" s="2">
        <v>723495</v>
      </c>
      <c r="E1008" t="s">
        <v>13</v>
      </c>
      <c r="F1008">
        <v>37.146700000000003</v>
      </c>
      <c r="G1008">
        <v>-94.502200000000002</v>
      </c>
      <c r="H1008">
        <v>-6</v>
      </c>
      <c r="I1008">
        <v>298.7</v>
      </c>
      <c r="J1008" t="str">
        <f>HYPERLINK("https://climate.onebuilding.org/WMO_Region_4_North_and_Central_America/USA_United_States_of_America/MO_Missouri/USA_MO_Joplin.Rgnl.AP.723495_US.Normals.1981-2010.zip")</f>
        <v>https://climate.onebuilding.org/WMO_Region_4_North_and_Central_America/USA_United_States_of_America/MO_Missouri/USA_MO_Joplin.Rgnl.AP.723495_US.Normals.1981-2010.zip</v>
      </c>
    </row>
    <row r="1009" spans="1:10" x14ac:dyDescent="0.25">
      <c r="A1009" t="s">
        <v>35</v>
      </c>
      <c r="B1009" t="s">
        <v>636</v>
      </c>
      <c r="C1009" t="s">
        <v>643</v>
      </c>
      <c r="D1009" s="2">
        <v>723495</v>
      </c>
      <c r="E1009" t="s">
        <v>13</v>
      </c>
      <c r="F1009">
        <v>37.146700000000003</v>
      </c>
      <c r="G1009">
        <v>-94.502200000000002</v>
      </c>
      <c r="H1009">
        <v>-6</v>
      </c>
      <c r="I1009">
        <v>298.7</v>
      </c>
      <c r="J1009" t="str">
        <f>HYPERLINK("https://climate.onebuilding.org/WMO_Region_4_North_and_Central_America/USA_United_States_of_America/MO_Missouri/USA_MO_Joplin.Rgnl.AP.723495_US.Normals.1991-2020.zip")</f>
        <v>https://climate.onebuilding.org/WMO_Region_4_North_and_Central_America/USA_United_States_of_America/MO_Missouri/USA_MO_Joplin.Rgnl.AP.723495_US.Normals.1991-2020.zip</v>
      </c>
    </row>
    <row r="1010" spans="1:10" x14ac:dyDescent="0.25">
      <c r="A1010" t="s">
        <v>35</v>
      </c>
      <c r="B1010" t="s">
        <v>636</v>
      </c>
      <c r="C1010" t="s">
        <v>643</v>
      </c>
      <c r="D1010" s="2">
        <v>723495</v>
      </c>
      <c r="E1010" t="s">
        <v>13</v>
      </c>
      <c r="F1010">
        <v>37.146700000000003</v>
      </c>
      <c r="G1010">
        <v>-94.502200000000002</v>
      </c>
      <c r="H1010">
        <v>-6</v>
      </c>
      <c r="I1010">
        <v>298.7</v>
      </c>
      <c r="J1010" t="str">
        <f>HYPERLINK("https://climate.onebuilding.org/WMO_Region_4_North_and_Central_America/USA_United_States_of_America/MO_Missouri/USA_MO_Joplin.Rgnl.AP.723495_US.Normals.2006-2020.zip")</f>
        <v>https://climate.onebuilding.org/WMO_Region_4_North_and_Central_America/USA_United_States_of_America/MO_Missouri/USA_MO_Joplin.Rgnl.AP.723495_US.Normals.2006-2020.zip</v>
      </c>
    </row>
    <row r="1011" spans="1:10" x14ac:dyDescent="0.25">
      <c r="A1011" t="s">
        <v>35</v>
      </c>
      <c r="B1011" t="s">
        <v>636</v>
      </c>
      <c r="C1011" t="s">
        <v>644</v>
      </c>
      <c r="D1011" s="2">
        <v>724463</v>
      </c>
      <c r="E1011" t="s">
        <v>13</v>
      </c>
      <c r="F1011">
        <v>39.120800000000003</v>
      </c>
      <c r="G1011">
        <v>-94.596900000000005</v>
      </c>
      <c r="H1011">
        <v>-6</v>
      </c>
      <c r="I1011">
        <v>226.2</v>
      </c>
      <c r="J1011" t="str">
        <f>HYPERLINK("https://climate.onebuilding.org/WMO_Region_4_North_and_Central_America/USA_United_States_of_America/MO_Missouri/USA_MO_Kansas.City-Wheeler.Downtown.AP.724463_US.Normals.1991-2020.zip")</f>
        <v>https://climate.onebuilding.org/WMO_Region_4_North_and_Central_America/USA_United_States_of_America/MO_Missouri/USA_MO_Kansas.City-Wheeler.Downtown.AP.724463_US.Normals.1991-2020.zip</v>
      </c>
    </row>
    <row r="1012" spans="1:10" x14ac:dyDescent="0.25">
      <c r="A1012" t="s">
        <v>35</v>
      </c>
      <c r="B1012" t="s">
        <v>636</v>
      </c>
      <c r="C1012" t="s">
        <v>644</v>
      </c>
      <c r="D1012" s="2">
        <v>724463</v>
      </c>
      <c r="E1012" t="s">
        <v>13</v>
      </c>
      <c r="F1012">
        <v>39.120800000000003</v>
      </c>
      <c r="G1012">
        <v>-94.596900000000005</v>
      </c>
      <c r="H1012">
        <v>-6</v>
      </c>
      <c r="I1012">
        <v>226.2</v>
      </c>
      <c r="J1012" t="str">
        <f>HYPERLINK("https://climate.onebuilding.org/WMO_Region_4_North_and_Central_America/USA_United_States_of_America/MO_Missouri/USA_MO_Kansas.City-Wheeler.Downtown.AP.724463_US.Normals.2006-2020.zip")</f>
        <v>https://climate.onebuilding.org/WMO_Region_4_North_and_Central_America/USA_United_States_of_America/MO_Missouri/USA_MO_Kansas.City-Wheeler.Downtown.AP.724463_US.Normals.2006-2020.zip</v>
      </c>
    </row>
    <row r="1013" spans="1:10" x14ac:dyDescent="0.25">
      <c r="A1013" t="s">
        <v>35</v>
      </c>
      <c r="B1013" t="s">
        <v>636</v>
      </c>
      <c r="C1013" t="s">
        <v>645</v>
      </c>
      <c r="D1013" s="2">
        <v>724460</v>
      </c>
      <c r="E1013" t="s">
        <v>13</v>
      </c>
      <c r="F1013">
        <v>39.297199999999997</v>
      </c>
      <c r="G1013">
        <v>-94.730599999999995</v>
      </c>
      <c r="H1013">
        <v>-6</v>
      </c>
      <c r="I1013">
        <v>306.3</v>
      </c>
      <c r="J1013" t="str">
        <f>HYPERLINK("https://climate.onebuilding.org/WMO_Region_4_North_and_Central_America/USA_United_States_of_America/MO_Missouri/USA_MO_Kansas.City.Intl.AP.724460_US.Normals.1981-2010.zip")</f>
        <v>https://climate.onebuilding.org/WMO_Region_4_North_and_Central_America/USA_United_States_of_America/MO_Missouri/USA_MO_Kansas.City.Intl.AP.724460_US.Normals.1981-2010.zip</v>
      </c>
    </row>
    <row r="1014" spans="1:10" x14ac:dyDescent="0.25">
      <c r="A1014" t="s">
        <v>35</v>
      </c>
      <c r="B1014" t="s">
        <v>636</v>
      </c>
      <c r="C1014" t="s">
        <v>645</v>
      </c>
      <c r="D1014" s="2">
        <v>724460</v>
      </c>
      <c r="E1014" t="s">
        <v>13</v>
      </c>
      <c r="F1014">
        <v>39.297199999999997</v>
      </c>
      <c r="G1014">
        <v>-94.730599999999995</v>
      </c>
      <c r="H1014">
        <v>-6</v>
      </c>
      <c r="I1014">
        <v>306.3</v>
      </c>
      <c r="J1014" t="str">
        <f>HYPERLINK("https://climate.onebuilding.org/WMO_Region_4_North_and_Central_America/USA_United_States_of_America/MO_Missouri/USA_MO_Kansas.City.Intl.AP.724460_US.Normals.1991-2020.zip")</f>
        <v>https://climate.onebuilding.org/WMO_Region_4_North_and_Central_America/USA_United_States_of_America/MO_Missouri/USA_MO_Kansas.City.Intl.AP.724460_US.Normals.1991-2020.zip</v>
      </c>
    </row>
    <row r="1015" spans="1:10" x14ac:dyDescent="0.25">
      <c r="A1015" t="s">
        <v>35</v>
      </c>
      <c r="B1015" t="s">
        <v>636</v>
      </c>
      <c r="C1015" t="s">
        <v>645</v>
      </c>
      <c r="D1015" s="2">
        <v>724460</v>
      </c>
      <c r="E1015" t="s">
        <v>13</v>
      </c>
      <c r="F1015">
        <v>39.297199999999997</v>
      </c>
      <c r="G1015">
        <v>-94.730599999999995</v>
      </c>
      <c r="H1015">
        <v>-6</v>
      </c>
      <c r="I1015">
        <v>306.3</v>
      </c>
      <c r="J1015" t="str">
        <f>HYPERLINK("https://climate.onebuilding.org/WMO_Region_4_North_and_Central_America/USA_United_States_of_America/MO_Missouri/USA_MO_Kansas.City.Intl.AP.724460_US.Normals.2006-2020.zip")</f>
        <v>https://climate.onebuilding.org/WMO_Region_4_North_and_Central_America/USA_United_States_of_America/MO_Missouri/USA_MO_Kansas.City.Intl.AP.724460_US.Normals.2006-2020.zip</v>
      </c>
    </row>
    <row r="1016" spans="1:10" x14ac:dyDescent="0.25">
      <c r="A1016" t="s">
        <v>35</v>
      </c>
      <c r="B1016" t="s">
        <v>636</v>
      </c>
      <c r="C1016" t="s">
        <v>646</v>
      </c>
      <c r="D1016" s="2">
        <v>724455</v>
      </c>
      <c r="E1016" t="s">
        <v>13</v>
      </c>
      <c r="F1016">
        <v>40.097200000000001</v>
      </c>
      <c r="G1016">
        <v>-92.543300000000002</v>
      </c>
      <c r="H1016">
        <v>-6</v>
      </c>
      <c r="I1016">
        <v>294.39999999999998</v>
      </c>
      <c r="J1016" t="str">
        <f>HYPERLINK("https://climate.onebuilding.org/WMO_Region_4_North_and_Central_America/USA_United_States_of_America/MO_Missouri/USA_MO_Kirksville.Rgnl.AP.724455_US.Normals.2006-2020.zip")</f>
        <v>https://climate.onebuilding.org/WMO_Region_4_North_and_Central_America/USA_United_States_of_America/MO_Missouri/USA_MO_Kirksville.Rgnl.AP.724455_US.Normals.2006-2020.zip</v>
      </c>
    </row>
    <row r="1017" spans="1:10" x14ac:dyDescent="0.25">
      <c r="A1017" t="s">
        <v>35</v>
      </c>
      <c r="B1017" t="s">
        <v>636</v>
      </c>
      <c r="C1017" t="s">
        <v>647</v>
      </c>
      <c r="D1017" s="2">
        <v>720306</v>
      </c>
      <c r="E1017" t="s">
        <v>13</v>
      </c>
      <c r="F1017">
        <v>38.959699999999998</v>
      </c>
      <c r="G1017">
        <v>-94.371399999999994</v>
      </c>
      <c r="H1017">
        <v>-6</v>
      </c>
      <c r="I1017">
        <v>303.89999999999998</v>
      </c>
      <c r="J1017" t="str">
        <f>HYPERLINK("https://climate.onebuilding.org/WMO_Region_4_North_and_Central_America/USA_United_States_of_America/MO_Missouri/USA_MO_Lees.Summit.Muni.AP.720306_US.Normals.2006-2020.zip")</f>
        <v>https://climate.onebuilding.org/WMO_Region_4_North_and_Central_America/USA_United_States_of_America/MO_Missouri/USA_MO_Lees.Summit.Muni.AP.720306_US.Normals.2006-2020.zip</v>
      </c>
    </row>
    <row r="1018" spans="1:10" x14ac:dyDescent="0.25">
      <c r="A1018" t="s">
        <v>35</v>
      </c>
      <c r="B1018" t="s">
        <v>636</v>
      </c>
      <c r="C1018" t="s">
        <v>648</v>
      </c>
      <c r="D1018" s="2">
        <v>725600</v>
      </c>
      <c r="E1018" t="s">
        <v>13</v>
      </c>
      <c r="F1018">
        <v>37.634399999999999</v>
      </c>
      <c r="G1018">
        <v>-91.722499999999997</v>
      </c>
      <c r="H1018">
        <v>-6</v>
      </c>
      <c r="I1018">
        <v>365.2</v>
      </c>
      <c r="J1018" t="str">
        <f>HYPERLINK("https://climate.onebuilding.org/WMO_Region_4_North_and_Central_America/USA_United_States_of_America/MO_Missouri/USA_MO_Lenox-White.River.Trace.Conservation.Area.725600_US.Normals.2006-2020.zip")</f>
        <v>https://climate.onebuilding.org/WMO_Region_4_North_and_Central_America/USA_United_States_of_America/MO_Missouri/USA_MO_Lenox-White.River.Trace.Conservation.Area.725600_US.Normals.2006-2020.zip</v>
      </c>
    </row>
    <row r="1019" spans="1:10" x14ac:dyDescent="0.25">
      <c r="A1019" t="s">
        <v>35</v>
      </c>
      <c r="B1019" t="s">
        <v>636</v>
      </c>
      <c r="C1019" t="s">
        <v>649</v>
      </c>
      <c r="D1019" s="2">
        <v>725590</v>
      </c>
      <c r="E1019" t="s">
        <v>13</v>
      </c>
      <c r="F1019">
        <v>37.427799999999998</v>
      </c>
      <c r="G1019">
        <v>-94.582800000000006</v>
      </c>
      <c r="H1019">
        <v>-6</v>
      </c>
      <c r="I1019">
        <v>290.2</v>
      </c>
      <c r="J1019" t="str">
        <f>HYPERLINK("https://climate.onebuilding.org/WMO_Region_4_North_and_Central_America/USA_United_States_of_America/MO_Missouri/USA_MO_Mindenmines-Shawnee.Trail.Conservation.Area.725590_US.Normals.2006-2020.zip")</f>
        <v>https://climate.onebuilding.org/WMO_Region_4_North_and_Central_America/USA_United_States_of_America/MO_Missouri/USA_MO_Mindenmines-Shawnee.Trail.Conservation.Area.725590_US.Normals.2006-2020.zip</v>
      </c>
    </row>
    <row r="1020" spans="1:10" x14ac:dyDescent="0.25">
      <c r="A1020" t="s">
        <v>35</v>
      </c>
      <c r="B1020" t="s">
        <v>636</v>
      </c>
      <c r="C1020" t="s">
        <v>650</v>
      </c>
      <c r="D1020" s="2">
        <v>723300</v>
      </c>
      <c r="E1020" t="s">
        <v>13</v>
      </c>
      <c r="F1020">
        <v>36.772500000000001</v>
      </c>
      <c r="G1020">
        <v>-90.324700000000007</v>
      </c>
      <c r="H1020">
        <v>-6</v>
      </c>
      <c r="I1020">
        <v>99.7</v>
      </c>
      <c r="J1020" t="str">
        <f>HYPERLINK("https://climate.onebuilding.org/WMO_Region_4_North_and_Central_America/USA_United_States_of_America/MO_Missouri/USA_MO_Poplar.Bluff.Muni.AP.723300_US.Normals.1991-2020.zip")</f>
        <v>https://climate.onebuilding.org/WMO_Region_4_North_and_Central_America/USA_United_States_of_America/MO_Missouri/USA_MO_Poplar.Bluff.Muni.AP.723300_US.Normals.1991-2020.zip</v>
      </c>
    </row>
    <row r="1021" spans="1:10" x14ac:dyDescent="0.25">
      <c r="A1021" t="s">
        <v>35</v>
      </c>
      <c r="B1021" t="s">
        <v>636</v>
      </c>
      <c r="C1021" t="s">
        <v>650</v>
      </c>
      <c r="D1021" s="2">
        <v>723300</v>
      </c>
      <c r="E1021" t="s">
        <v>13</v>
      </c>
      <c r="F1021">
        <v>36.772500000000001</v>
      </c>
      <c r="G1021">
        <v>-90.324700000000007</v>
      </c>
      <c r="H1021">
        <v>-6</v>
      </c>
      <c r="I1021">
        <v>99.7</v>
      </c>
      <c r="J1021" t="str">
        <f>HYPERLINK("https://climate.onebuilding.org/WMO_Region_4_North_and_Central_America/USA_United_States_of_America/MO_Missouri/USA_MO_Poplar.Bluff.Muni.AP.723300_US.Normals.2006-2020.zip")</f>
        <v>https://climate.onebuilding.org/WMO_Region_4_North_and_Central_America/USA_United_States_of_America/MO_Missouri/USA_MO_Poplar.Bluff.Muni.AP.723300_US.Normals.2006-2020.zip</v>
      </c>
    </row>
    <row r="1022" spans="1:10" x14ac:dyDescent="0.25">
      <c r="A1022" t="s">
        <v>35</v>
      </c>
      <c r="B1022" t="s">
        <v>636</v>
      </c>
      <c r="C1022" t="s">
        <v>651</v>
      </c>
      <c r="D1022" s="2">
        <v>724347</v>
      </c>
      <c r="E1022" t="s">
        <v>13</v>
      </c>
      <c r="F1022">
        <v>38.928600000000003</v>
      </c>
      <c r="G1022">
        <v>-90.428100000000001</v>
      </c>
      <c r="H1022">
        <v>-6</v>
      </c>
      <c r="I1022">
        <v>132.9</v>
      </c>
      <c r="J1022" t="str">
        <f>HYPERLINK("https://climate.onebuilding.org/WMO_Region_4_North_and_Central_America/USA_United_States_of_America/MO_Missouri/USA_MO_Portage.des.Sioux-St.Charles.County.AP-Smartt.Field.724347_US.Normals.2006-2020.zip")</f>
        <v>https://climate.onebuilding.org/WMO_Region_4_North_and_Central_America/USA_United_States_of_America/MO_Missouri/USA_MO_Portage.des.Sioux-St.Charles.County.AP-Smartt.Field.724347_US.Normals.2006-2020.zip</v>
      </c>
    </row>
    <row r="1023" spans="1:10" x14ac:dyDescent="0.25">
      <c r="A1023" t="s">
        <v>35</v>
      </c>
      <c r="B1023" t="s">
        <v>636</v>
      </c>
      <c r="C1023" t="s">
        <v>652</v>
      </c>
      <c r="D1023" s="2">
        <v>724420</v>
      </c>
      <c r="E1023" t="s">
        <v>13</v>
      </c>
      <c r="F1023">
        <v>38.131100000000004</v>
      </c>
      <c r="G1023">
        <v>-91.768299999999996</v>
      </c>
      <c r="H1023">
        <v>-6</v>
      </c>
      <c r="I1023">
        <v>343.5</v>
      </c>
      <c r="J1023" t="str">
        <f>HYPERLINK("https://climate.onebuilding.org/WMO_Region_4_North_and_Central_America/USA_United_States_of_America/MO_Missouri/USA_MO_Rolla.Natl.AP.724420_US.Normals.2006-2020.zip")</f>
        <v>https://climate.onebuilding.org/WMO_Region_4_North_and_Central_America/USA_United_States_of_America/MO_Missouri/USA_MO_Rolla.Natl.AP.724420_US.Normals.2006-2020.zip</v>
      </c>
    </row>
    <row r="1024" spans="1:10" x14ac:dyDescent="0.25">
      <c r="A1024" t="s">
        <v>35</v>
      </c>
      <c r="B1024" t="s">
        <v>636</v>
      </c>
      <c r="C1024" t="s">
        <v>653</v>
      </c>
      <c r="D1024" s="2">
        <v>724453</v>
      </c>
      <c r="E1024" t="s">
        <v>13</v>
      </c>
      <c r="F1024">
        <v>38.7042</v>
      </c>
      <c r="G1024">
        <v>-93.183300000000003</v>
      </c>
      <c r="H1024">
        <v>-6</v>
      </c>
      <c r="I1024">
        <v>274.3</v>
      </c>
      <c r="J1024" t="str">
        <f>HYPERLINK("https://climate.onebuilding.org/WMO_Region_4_North_and_Central_America/USA_United_States_of_America/MO_Missouri/USA_MO_Sedalia.Meml.AP.724453_US.Normals.2006-2020.zip")</f>
        <v>https://climate.onebuilding.org/WMO_Region_4_North_and_Central_America/USA_United_States_of_America/MO_Missouri/USA_MO_Sedalia.Meml.AP.724453_US.Normals.2006-2020.zip</v>
      </c>
    </row>
    <row r="1025" spans="1:10" x14ac:dyDescent="0.25">
      <c r="A1025" t="s">
        <v>35</v>
      </c>
      <c r="B1025" t="s">
        <v>636</v>
      </c>
      <c r="C1025" t="s">
        <v>654</v>
      </c>
      <c r="D1025" s="2">
        <v>724400</v>
      </c>
      <c r="E1025" t="s">
        <v>13</v>
      </c>
      <c r="F1025">
        <v>37.235300000000002</v>
      </c>
      <c r="G1025">
        <v>-93.400300000000001</v>
      </c>
      <c r="H1025">
        <v>-6</v>
      </c>
      <c r="I1025">
        <v>389.5</v>
      </c>
      <c r="J1025" t="str">
        <f>HYPERLINK("https://climate.onebuilding.org/WMO_Region_4_North_and_Central_America/USA_United_States_of_America/MO_Missouri/USA_MO_Springfield-Branson.Natl.AP.724400_US.Normals.1981-2010.zip")</f>
        <v>https://climate.onebuilding.org/WMO_Region_4_North_and_Central_America/USA_United_States_of_America/MO_Missouri/USA_MO_Springfield-Branson.Natl.AP.724400_US.Normals.1981-2010.zip</v>
      </c>
    </row>
    <row r="1026" spans="1:10" x14ac:dyDescent="0.25">
      <c r="A1026" t="s">
        <v>35</v>
      </c>
      <c r="B1026" t="s">
        <v>636</v>
      </c>
      <c r="C1026" t="s">
        <v>654</v>
      </c>
      <c r="D1026" s="2">
        <v>724400</v>
      </c>
      <c r="E1026" t="s">
        <v>13</v>
      </c>
      <c r="F1026">
        <v>37.235300000000002</v>
      </c>
      <c r="G1026">
        <v>-93.400300000000001</v>
      </c>
      <c r="H1026">
        <v>-6</v>
      </c>
      <c r="I1026">
        <v>389.5</v>
      </c>
      <c r="J1026" t="str">
        <f>HYPERLINK("https://climate.onebuilding.org/WMO_Region_4_North_and_Central_America/USA_United_States_of_America/MO_Missouri/USA_MO_Springfield-Branson.Natl.AP.724400_US.Normals.1991-2020.zip")</f>
        <v>https://climate.onebuilding.org/WMO_Region_4_North_and_Central_America/USA_United_States_of_America/MO_Missouri/USA_MO_Springfield-Branson.Natl.AP.724400_US.Normals.1991-2020.zip</v>
      </c>
    </row>
    <row r="1027" spans="1:10" x14ac:dyDescent="0.25">
      <c r="A1027" t="s">
        <v>35</v>
      </c>
      <c r="B1027" t="s">
        <v>636</v>
      </c>
      <c r="C1027" t="s">
        <v>654</v>
      </c>
      <c r="D1027" s="2">
        <v>724400</v>
      </c>
      <c r="E1027" t="s">
        <v>13</v>
      </c>
      <c r="F1027">
        <v>37.235300000000002</v>
      </c>
      <c r="G1027">
        <v>-93.400300000000001</v>
      </c>
      <c r="H1027">
        <v>-6</v>
      </c>
      <c r="I1027">
        <v>389.5</v>
      </c>
      <c r="J1027" t="str">
        <f>HYPERLINK("https://climate.onebuilding.org/WMO_Region_4_North_and_Central_America/USA_United_States_of_America/MO_Missouri/USA_MO_Springfield-Branson.Natl.AP.724400_US.Normals.2006-2020.zip")</f>
        <v>https://climate.onebuilding.org/WMO_Region_4_North_and_Central_America/USA_United_States_of_America/MO_Missouri/USA_MO_Springfield-Branson.Natl.AP.724400_US.Normals.2006-2020.zip</v>
      </c>
    </row>
    <row r="1028" spans="1:10" x14ac:dyDescent="0.25">
      <c r="A1028" t="s">
        <v>35</v>
      </c>
      <c r="B1028" t="s">
        <v>636</v>
      </c>
      <c r="C1028" t="s">
        <v>655</v>
      </c>
      <c r="D1028" s="2">
        <v>724490</v>
      </c>
      <c r="E1028" t="s">
        <v>13</v>
      </c>
      <c r="F1028">
        <v>39.773600000000002</v>
      </c>
      <c r="G1028">
        <v>-94.923299999999998</v>
      </c>
      <c r="H1028">
        <v>-6</v>
      </c>
      <c r="I1028">
        <v>249.3</v>
      </c>
      <c r="J1028" t="str">
        <f>HYPERLINK("https://climate.onebuilding.org/WMO_Region_4_North_and_Central_America/USA_United_States_of_America/MO_Missouri/USA_MO_St.Joseph-Rosecrans.Meml.AP.724490_US.Normals.2006-2020.zip")</f>
        <v>https://climate.onebuilding.org/WMO_Region_4_North_and_Central_America/USA_United_States_of_America/MO_Missouri/USA_MO_St.Joseph-Rosecrans.Meml.AP.724490_US.Normals.2006-2020.zip</v>
      </c>
    </row>
    <row r="1029" spans="1:10" x14ac:dyDescent="0.25">
      <c r="A1029" t="s">
        <v>35</v>
      </c>
      <c r="B1029" t="s">
        <v>636</v>
      </c>
      <c r="C1029" t="s">
        <v>656</v>
      </c>
      <c r="D1029" s="2">
        <v>724340</v>
      </c>
      <c r="E1029" t="s">
        <v>13</v>
      </c>
      <c r="F1029">
        <v>38.752499999999998</v>
      </c>
      <c r="G1029">
        <v>-90.373599999999996</v>
      </c>
      <c r="H1029">
        <v>-6</v>
      </c>
      <c r="I1029">
        <v>161.80000000000001</v>
      </c>
      <c r="J1029" t="str">
        <f>HYPERLINK("https://climate.onebuilding.org/WMO_Region_4_North_and_Central_America/USA_United_States_of_America/MO_Missouri/USA_MO_St.Louis-Lambert.Intl.AP.724340_US.Normals.1981-2010.zip")</f>
        <v>https://climate.onebuilding.org/WMO_Region_4_North_and_Central_America/USA_United_States_of_America/MO_Missouri/USA_MO_St.Louis-Lambert.Intl.AP.724340_US.Normals.1981-2010.zip</v>
      </c>
    </row>
    <row r="1030" spans="1:10" x14ac:dyDescent="0.25">
      <c r="A1030" t="s">
        <v>35</v>
      </c>
      <c r="B1030" t="s">
        <v>636</v>
      </c>
      <c r="C1030" t="s">
        <v>656</v>
      </c>
      <c r="D1030" s="2">
        <v>724340</v>
      </c>
      <c r="E1030" t="s">
        <v>13</v>
      </c>
      <c r="F1030">
        <v>38.752499999999998</v>
      </c>
      <c r="G1030">
        <v>-90.373599999999996</v>
      </c>
      <c r="H1030">
        <v>-6</v>
      </c>
      <c r="I1030">
        <v>161.80000000000001</v>
      </c>
      <c r="J1030" t="str">
        <f>HYPERLINK("https://climate.onebuilding.org/WMO_Region_4_North_and_Central_America/USA_United_States_of_America/MO_Missouri/USA_MO_St.Louis-Lambert.Intl.AP.724340_US.Normals.1991-2020.zip")</f>
        <v>https://climate.onebuilding.org/WMO_Region_4_North_and_Central_America/USA_United_States_of_America/MO_Missouri/USA_MO_St.Louis-Lambert.Intl.AP.724340_US.Normals.1991-2020.zip</v>
      </c>
    </row>
    <row r="1031" spans="1:10" x14ac:dyDescent="0.25">
      <c r="A1031" t="s">
        <v>35</v>
      </c>
      <c r="B1031" t="s">
        <v>636</v>
      </c>
      <c r="C1031" t="s">
        <v>656</v>
      </c>
      <c r="D1031" s="2">
        <v>724340</v>
      </c>
      <c r="E1031" t="s">
        <v>13</v>
      </c>
      <c r="F1031">
        <v>38.752499999999998</v>
      </c>
      <c r="G1031">
        <v>-90.373599999999996</v>
      </c>
      <c r="H1031">
        <v>-6</v>
      </c>
      <c r="I1031">
        <v>161.80000000000001</v>
      </c>
      <c r="J1031" t="str">
        <f>HYPERLINK("https://climate.onebuilding.org/WMO_Region_4_North_and_Central_America/USA_United_States_of_America/MO_Missouri/USA_MO_St.Louis-Lambert.Intl.AP.724340_US.Normals.2006-2020.zip")</f>
        <v>https://climate.onebuilding.org/WMO_Region_4_North_and_Central_America/USA_United_States_of_America/MO_Missouri/USA_MO_St.Louis-Lambert.Intl.AP.724340_US.Normals.2006-2020.zip</v>
      </c>
    </row>
    <row r="1032" spans="1:10" x14ac:dyDescent="0.25">
      <c r="A1032" t="s">
        <v>35</v>
      </c>
      <c r="B1032" t="s">
        <v>636</v>
      </c>
      <c r="C1032" t="s">
        <v>657</v>
      </c>
      <c r="D1032" s="2">
        <v>724345</v>
      </c>
      <c r="E1032" t="s">
        <v>13</v>
      </c>
      <c r="F1032">
        <v>38.657200000000003</v>
      </c>
      <c r="G1032">
        <v>-90.655799999999999</v>
      </c>
      <c r="H1032">
        <v>-6</v>
      </c>
      <c r="I1032">
        <v>140.80000000000001</v>
      </c>
      <c r="J1032" t="str">
        <f>HYPERLINK("https://climate.onebuilding.org/WMO_Region_4_North_and_Central_America/USA_United_States_of_America/MO_Missouri/USA_MO_St.Louis-Spirit.of.St.Louis.AP.724345_US.Normals.1991-2020.zip")</f>
        <v>https://climate.onebuilding.org/WMO_Region_4_North_and_Central_America/USA_United_States_of_America/MO_Missouri/USA_MO_St.Louis-Spirit.of.St.Louis.AP.724345_US.Normals.1991-2020.zip</v>
      </c>
    </row>
    <row r="1033" spans="1:10" x14ac:dyDescent="0.25">
      <c r="A1033" t="s">
        <v>35</v>
      </c>
      <c r="B1033" t="s">
        <v>636</v>
      </c>
      <c r="C1033" t="s">
        <v>657</v>
      </c>
      <c r="D1033" s="2">
        <v>724345</v>
      </c>
      <c r="E1033" t="s">
        <v>13</v>
      </c>
      <c r="F1033">
        <v>38.657200000000003</v>
      </c>
      <c r="G1033">
        <v>-90.655799999999999</v>
      </c>
      <c r="H1033">
        <v>-6</v>
      </c>
      <c r="I1033">
        <v>140.80000000000001</v>
      </c>
      <c r="J1033" t="str">
        <f>HYPERLINK("https://climate.onebuilding.org/WMO_Region_4_North_and_Central_America/USA_United_States_of_America/MO_Missouri/USA_MO_St.Louis-Spirit.of.St.Louis.AP.724345_US.Normals.2006-2020.zip")</f>
        <v>https://climate.onebuilding.org/WMO_Region_4_North_and_Central_America/USA_United_States_of_America/MO_Missouri/USA_MO_St.Louis-Spirit.of.St.Louis.AP.724345_US.Normals.2006-2020.zip</v>
      </c>
    </row>
    <row r="1034" spans="1:10" x14ac:dyDescent="0.25">
      <c r="A1034" t="s">
        <v>35</v>
      </c>
      <c r="B1034" t="s">
        <v>636</v>
      </c>
      <c r="C1034" t="s">
        <v>658</v>
      </c>
      <c r="D1034" s="2">
        <v>723484</v>
      </c>
      <c r="E1034" t="s">
        <v>13</v>
      </c>
      <c r="F1034">
        <v>36.878100000000003</v>
      </c>
      <c r="G1034">
        <v>-91.902500000000003</v>
      </c>
      <c r="H1034">
        <v>-6</v>
      </c>
      <c r="I1034">
        <v>372.8</v>
      </c>
      <c r="J1034" t="str">
        <f>HYPERLINK("https://climate.onebuilding.org/WMO_Region_4_North_and_Central_America/USA_United_States_of_America/MO_Missouri/USA_MO_West.Plains.Rgnl.AP.723484_US.Normals.2006-2020.zip")</f>
        <v>https://climate.onebuilding.org/WMO_Region_4_North_and_Central_America/USA_United_States_of_America/MO_Missouri/USA_MO_West.Plains.Rgnl.AP.723484_US.Normals.2006-2020.zip</v>
      </c>
    </row>
    <row r="1035" spans="1:10" x14ac:dyDescent="0.25">
      <c r="A1035" t="s">
        <v>35</v>
      </c>
      <c r="B1035" t="s">
        <v>636</v>
      </c>
      <c r="C1035" t="s">
        <v>659</v>
      </c>
      <c r="D1035" s="2">
        <v>724467</v>
      </c>
      <c r="E1035" t="s">
        <v>13</v>
      </c>
      <c r="F1035">
        <v>38.716700000000003</v>
      </c>
      <c r="G1035">
        <v>-93.55</v>
      </c>
      <c r="H1035">
        <v>-6</v>
      </c>
      <c r="I1035">
        <v>255.1</v>
      </c>
      <c r="J1035" t="str">
        <f>HYPERLINK("https://climate.onebuilding.org/WMO_Region_4_North_and_Central_America/USA_United_States_of_America/MO_Missouri/USA_MO_Whiteman.AFB.724467_US.Normals.1981-2010.zip")</f>
        <v>https://climate.onebuilding.org/WMO_Region_4_North_and_Central_America/USA_United_States_of_America/MO_Missouri/USA_MO_Whiteman.AFB.724467_US.Normals.1981-2010.zip</v>
      </c>
    </row>
    <row r="1036" spans="1:10" x14ac:dyDescent="0.25">
      <c r="A1036" t="s">
        <v>35</v>
      </c>
      <c r="B1036" t="s">
        <v>636</v>
      </c>
      <c r="C1036" t="s">
        <v>659</v>
      </c>
      <c r="D1036" s="2">
        <v>724467</v>
      </c>
      <c r="E1036" t="s">
        <v>13</v>
      </c>
      <c r="F1036">
        <v>38.716700000000003</v>
      </c>
      <c r="G1036">
        <v>-93.55</v>
      </c>
      <c r="H1036">
        <v>-6</v>
      </c>
      <c r="I1036">
        <v>255.1</v>
      </c>
      <c r="J1036" t="str">
        <f>HYPERLINK("https://climate.onebuilding.org/WMO_Region_4_North_and_Central_America/USA_United_States_of_America/MO_Missouri/USA_MO_Whiteman.AFB.724467_US.Normals.1991-2020.zip")</f>
        <v>https://climate.onebuilding.org/WMO_Region_4_North_and_Central_America/USA_United_States_of_America/MO_Missouri/USA_MO_Whiteman.AFB.724467_US.Normals.1991-2020.zip</v>
      </c>
    </row>
    <row r="1037" spans="1:10" x14ac:dyDescent="0.25">
      <c r="A1037" t="s">
        <v>35</v>
      </c>
      <c r="B1037" t="s">
        <v>636</v>
      </c>
      <c r="C1037" t="s">
        <v>659</v>
      </c>
      <c r="D1037" s="2">
        <v>724467</v>
      </c>
      <c r="E1037" t="s">
        <v>13</v>
      </c>
      <c r="F1037">
        <v>38.716700000000003</v>
      </c>
      <c r="G1037">
        <v>-93.55</v>
      </c>
      <c r="H1037">
        <v>-6</v>
      </c>
      <c r="I1037">
        <v>255.1</v>
      </c>
      <c r="J1037" t="str">
        <f>HYPERLINK("https://climate.onebuilding.org/WMO_Region_4_North_and_Central_America/USA_United_States_of_America/MO_Missouri/USA_MO_Whiteman.AFB.724467_US.Normals.2006-2020.zip")</f>
        <v>https://climate.onebuilding.org/WMO_Region_4_North_and_Central_America/USA_United_States_of_America/MO_Missouri/USA_MO_Whiteman.AFB.724467_US.Normals.2006-2020.zip</v>
      </c>
    </row>
    <row r="1038" spans="1:10" x14ac:dyDescent="0.25">
      <c r="A1038" t="s">
        <v>35</v>
      </c>
      <c r="B1038" t="s">
        <v>660</v>
      </c>
      <c r="C1038" t="s">
        <v>661</v>
      </c>
      <c r="D1038" s="2">
        <v>747686</v>
      </c>
      <c r="E1038" t="s">
        <v>13</v>
      </c>
      <c r="F1038">
        <v>30.416699999999999</v>
      </c>
      <c r="G1038">
        <v>-88.916700000000006</v>
      </c>
      <c r="H1038">
        <v>-6</v>
      </c>
      <c r="I1038">
        <v>7.9</v>
      </c>
      <c r="J1038" t="str">
        <f>HYPERLINK("https://climate.onebuilding.org/WMO_Region_4_North_and_Central_America/USA_United_States_of_America/MS_Mississippi/USA_MS_Biloxi-Keesler.AFB.747686_US.Normals.2006-2020.zip")</f>
        <v>https://climate.onebuilding.org/WMO_Region_4_North_and_Central_America/USA_United_States_of_America/MS_Mississippi/USA_MS_Biloxi-Keesler.AFB.747686_US.Normals.2006-2020.zip</v>
      </c>
    </row>
    <row r="1039" spans="1:10" x14ac:dyDescent="0.25">
      <c r="A1039" t="s">
        <v>35</v>
      </c>
      <c r="B1039" t="s">
        <v>660</v>
      </c>
      <c r="C1039" t="s">
        <v>662</v>
      </c>
      <c r="D1039" s="2">
        <v>723306</v>
      </c>
      <c r="E1039" t="s">
        <v>13</v>
      </c>
      <c r="F1039">
        <v>33.65</v>
      </c>
      <c r="G1039">
        <v>-88.45</v>
      </c>
      <c r="H1039">
        <v>-6</v>
      </c>
      <c r="I1039">
        <v>68</v>
      </c>
      <c r="J1039" t="str">
        <f>HYPERLINK("https://climate.onebuilding.org/WMO_Region_4_North_and_Central_America/USA_United_States_of_America/MS_Mississippi/USA_MS_Columbus.AFB.723306_US.Normals.2006-2020.zip")</f>
        <v>https://climate.onebuilding.org/WMO_Region_4_North_and_Central_America/USA_United_States_of_America/MS_Mississippi/USA_MS_Columbus.AFB.723306_US.Normals.2006-2020.zip</v>
      </c>
    </row>
    <row r="1040" spans="1:10" x14ac:dyDescent="0.25">
      <c r="A1040" t="s">
        <v>35</v>
      </c>
      <c r="B1040" t="s">
        <v>660</v>
      </c>
      <c r="C1040" t="s">
        <v>663</v>
      </c>
      <c r="D1040" s="2">
        <v>747680</v>
      </c>
      <c r="E1040" t="s">
        <v>13</v>
      </c>
      <c r="F1040">
        <v>33.482500000000002</v>
      </c>
      <c r="G1040">
        <v>-90.985299999999995</v>
      </c>
      <c r="H1040">
        <v>-6</v>
      </c>
      <c r="I1040">
        <v>39</v>
      </c>
      <c r="J1040" t="str">
        <f>HYPERLINK("https://climate.onebuilding.org/WMO_Region_4_North_and_Central_America/USA_United_States_of_America/MS_Mississippi/USA_MS_Greenville.Mid-Delta.Rgnl.AP.747680_US.Normals.2006-2020.zip")</f>
        <v>https://climate.onebuilding.org/WMO_Region_4_North_and_Central_America/USA_United_States_of_America/MS_Mississippi/USA_MS_Greenville.Mid-Delta.Rgnl.AP.747680_US.Normals.2006-2020.zip</v>
      </c>
    </row>
    <row r="1041" spans="1:10" x14ac:dyDescent="0.25">
      <c r="A1041" t="s">
        <v>35</v>
      </c>
      <c r="B1041" t="s">
        <v>660</v>
      </c>
      <c r="C1041" t="s">
        <v>664</v>
      </c>
      <c r="D1041" s="2">
        <v>747580</v>
      </c>
      <c r="E1041" t="s">
        <v>13</v>
      </c>
      <c r="F1041">
        <v>33.496400000000001</v>
      </c>
      <c r="G1041">
        <v>-90.086699999999993</v>
      </c>
      <c r="H1041">
        <v>-6</v>
      </c>
      <c r="I1041">
        <v>40.5</v>
      </c>
      <c r="J1041" t="str">
        <f>HYPERLINK("https://climate.onebuilding.org/WMO_Region_4_North_and_Central_America/USA_United_States_of_America/MS_Mississippi/USA_MS_Greenwood-Leflore.AP.747580_US.Normals.1981-2010.zip")</f>
        <v>https://climate.onebuilding.org/WMO_Region_4_North_and_Central_America/USA_United_States_of_America/MS_Mississippi/USA_MS_Greenwood-Leflore.AP.747580_US.Normals.1981-2010.zip</v>
      </c>
    </row>
    <row r="1042" spans="1:10" x14ac:dyDescent="0.25">
      <c r="A1042" t="s">
        <v>35</v>
      </c>
      <c r="B1042" t="s">
        <v>660</v>
      </c>
      <c r="C1042" t="s">
        <v>664</v>
      </c>
      <c r="D1042" s="2">
        <v>747580</v>
      </c>
      <c r="E1042" t="s">
        <v>13</v>
      </c>
      <c r="F1042">
        <v>33.496400000000001</v>
      </c>
      <c r="G1042">
        <v>-90.086699999999993</v>
      </c>
      <c r="H1042">
        <v>-6</v>
      </c>
      <c r="I1042">
        <v>40.5</v>
      </c>
      <c r="J1042" t="str">
        <f>HYPERLINK("https://climate.onebuilding.org/WMO_Region_4_North_and_Central_America/USA_United_States_of_America/MS_Mississippi/USA_MS_Greenwood-Leflore.AP.747580_US.Normals.2006-2020.zip")</f>
        <v>https://climate.onebuilding.org/WMO_Region_4_North_and_Central_America/USA_United_States_of_America/MS_Mississippi/USA_MS_Greenwood-Leflore.AP.747580_US.Normals.2006-2020.zip</v>
      </c>
    </row>
    <row r="1043" spans="1:10" x14ac:dyDescent="0.25">
      <c r="A1043" t="s">
        <v>35</v>
      </c>
      <c r="B1043" t="s">
        <v>660</v>
      </c>
      <c r="C1043" t="s">
        <v>665</v>
      </c>
      <c r="D1043" s="2">
        <v>747570</v>
      </c>
      <c r="E1043" t="s">
        <v>13</v>
      </c>
      <c r="F1043">
        <v>30.411899999999999</v>
      </c>
      <c r="G1043">
        <v>-89.080799999999996</v>
      </c>
      <c r="H1043">
        <v>-6</v>
      </c>
      <c r="I1043">
        <v>12.8</v>
      </c>
      <c r="J1043" t="str">
        <f>HYPERLINK("https://climate.onebuilding.org/WMO_Region_4_North_and_Central_America/USA_United_States_of_America/MS_Mississippi/USA_MS_Gulfport-Biloxi.Intl.AP.747570_US.Normals.2006-2020.zip")</f>
        <v>https://climate.onebuilding.org/WMO_Region_4_North_and_Central_America/USA_United_States_of_America/MS_Mississippi/USA_MS_Gulfport-Biloxi.Intl.AP.747570_US.Normals.2006-2020.zip</v>
      </c>
    </row>
    <row r="1044" spans="1:10" x14ac:dyDescent="0.25">
      <c r="A1044" t="s">
        <v>35</v>
      </c>
      <c r="B1044" t="s">
        <v>660</v>
      </c>
      <c r="C1044" t="s">
        <v>666</v>
      </c>
      <c r="D1044" s="2">
        <v>747590</v>
      </c>
      <c r="E1044" t="s">
        <v>13</v>
      </c>
      <c r="F1044">
        <v>31.265000000000001</v>
      </c>
      <c r="G1044">
        <v>-89.253</v>
      </c>
      <c r="H1044">
        <v>-6</v>
      </c>
      <c r="I1044">
        <v>46</v>
      </c>
      <c r="J1044" t="str">
        <f>HYPERLINK("https://climate.onebuilding.org/WMO_Region_4_North_and_Central_America/USA_United_States_of_America/MS_Mississippi/USA_MS_Hattiesburg-Chain.Muni.AP.747590_US.Normals.2006-2020.zip")</f>
        <v>https://climate.onebuilding.org/WMO_Region_4_North_and_Central_America/USA_United_States_of_America/MS_Mississippi/USA_MS_Hattiesburg-Chain.Muni.AP.747590_US.Normals.2006-2020.zip</v>
      </c>
    </row>
    <row r="1045" spans="1:10" x14ac:dyDescent="0.25">
      <c r="A1045" t="s">
        <v>35</v>
      </c>
      <c r="B1045" t="s">
        <v>660</v>
      </c>
      <c r="C1045" t="s">
        <v>667</v>
      </c>
      <c r="D1045" s="2">
        <v>747710</v>
      </c>
      <c r="E1045" t="s">
        <v>13</v>
      </c>
      <c r="F1045">
        <v>32.337800000000001</v>
      </c>
      <c r="G1045">
        <v>-89.070300000000003</v>
      </c>
      <c r="H1045">
        <v>-6</v>
      </c>
      <c r="I1045">
        <v>114</v>
      </c>
      <c r="J1045" t="str">
        <f>HYPERLINK("https://climate.onebuilding.org/WMO_Region_4_North_and_Central_America/USA_United_States_of_America/MS_Mississippi/USA_MS_Hickory-Coastal.Plain.Experimental.Station.747710_US.Normals.2006-2020.zip")</f>
        <v>https://climate.onebuilding.org/WMO_Region_4_North_and_Central_America/USA_United_States_of_America/MS_Mississippi/USA_MS_Hickory-Coastal.Plain.Experimental.Station.747710_US.Normals.2006-2020.zip</v>
      </c>
    </row>
    <row r="1046" spans="1:10" x14ac:dyDescent="0.25">
      <c r="A1046" t="s">
        <v>35</v>
      </c>
      <c r="B1046" t="s">
        <v>660</v>
      </c>
      <c r="C1046" t="s">
        <v>668</v>
      </c>
      <c r="D1046" s="2">
        <v>747700</v>
      </c>
      <c r="E1046" t="s">
        <v>13</v>
      </c>
      <c r="F1046">
        <v>34.822200000000002</v>
      </c>
      <c r="G1046">
        <v>-89.434700000000007</v>
      </c>
      <c r="H1046">
        <v>-6</v>
      </c>
      <c r="I1046">
        <v>147.5</v>
      </c>
      <c r="J1046" t="str">
        <f>HYPERLINK("https://climate.onebuilding.org/WMO_Region_4_North_and_Central_America/USA_United_States_of_America/MS_Mississippi/USA_MS_Holly.Springs-Marshall.County.AP.747700_US.Normals.2006-2020.zip")</f>
        <v>https://climate.onebuilding.org/WMO_Region_4_North_and_Central_America/USA_United_States_of_America/MS_Mississippi/USA_MS_Holly.Springs-Marshall.County.AP.747700_US.Normals.2006-2020.zip</v>
      </c>
    </row>
    <row r="1047" spans="1:10" x14ac:dyDescent="0.25">
      <c r="A1047" t="s">
        <v>35</v>
      </c>
      <c r="B1047" t="s">
        <v>660</v>
      </c>
      <c r="C1047" t="s">
        <v>669</v>
      </c>
      <c r="D1047" s="2">
        <v>722350</v>
      </c>
      <c r="E1047" t="s">
        <v>13</v>
      </c>
      <c r="F1047">
        <v>32.320599999999999</v>
      </c>
      <c r="G1047">
        <v>-90.077799999999996</v>
      </c>
      <c r="H1047">
        <v>-6</v>
      </c>
      <c r="I1047">
        <v>100.6</v>
      </c>
      <c r="J1047" t="str">
        <f>HYPERLINK("https://climate.onebuilding.org/WMO_Region_4_North_and_Central_America/USA_United_States_of_America/MS_Mississippi/USA_MS_Jackson-Evers.Intl.AP.722350_US.Normals.1981-2010.zip")</f>
        <v>https://climate.onebuilding.org/WMO_Region_4_North_and_Central_America/USA_United_States_of_America/MS_Mississippi/USA_MS_Jackson-Evers.Intl.AP.722350_US.Normals.1981-2010.zip</v>
      </c>
    </row>
    <row r="1048" spans="1:10" x14ac:dyDescent="0.25">
      <c r="A1048" t="s">
        <v>35</v>
      </c>
      <c r="B1048" t="s">
        <v>660</v>
      </c>
      <c r="C1048" t="s">
        <v>669</v>
      </c>
      <c r="D1048" s="2">
        <v>722350</v>
      </c>
      <c r="E1048" t="s">
        <v>13</v>
      </c>
      <c r="F1048">
        <v>32.320599999999999</v>
      </c>
      <c r="G1048">
        <v>-90.077799999999996</v>
      </c>
      <c r="H1048">
        <v>-6</v>
      </c>
      <c r="I1048">
        <v>100.6</v>
      </c>
      <c r="J1048" t="str">
        <f>HYPERLINK("https://climate.onebuilding.org/WMO_Region_4_North_and_Central_America/USA_United_States_of_America/MS_Mississippi/USA_MS_Jackson-Evers.Intl.AP.722350_US.Normals.1991-2020.zip")</f>
        <v>https://climate.onebuilding.org/WMO_Region_4_North_and_Central_America/USA_United_States_of_America/MS_Mississippi/USA_MS_Jackson-Evers.Intl.AP.722350_US.Normals.1991-2020.zip</v>
      </c>
    </row>
    <row r="1049" spans="1:10" x14ac:dyDescent="0.25">
      <c r="A1049" t="s">
        <v>35</v>
      </c>
      <c r="B1049" t="s">
        <v>660</v>
      </c>
      <c r="C1049" t="s">
        <v>669</v>
      </c>
      <c r="D1049" s="2">
        <v>722350</v>
      </c>
      <c r="E1049" t="s">
        <v>13</v>
      </c>
      <c r="F1049">
        <v>32.320599999999999</v>
      </c>
      <c r="G1049">
        <v>-90.077799999999996</v>
      </c>
      <c r="H1049">
        <v>-6</v>
      </c>
      <c r="I1049">
        <v>100.6</v>
      </c>
      <c r="J1049" t="str">
        <f>HYPERLINK("https://climate.onebuilding.org/WMO_Region_4_North_and_Central_America/USA_United_States_of_America/MS_Mississippi/USA_MS_Jackson-Evers.Intl.AP.722350_US.Normals.2006-2020.zip")</f>
        <v>https://climate.onebuilding.org/WMO_Region_4_North_and_Central_America/USA_United_States_of_America/MS_Mississippi/USA_MS_Jackson-Evers.Intl.AP.722350_US.Normals.2006-2020.zip</v>
      </c>
    </row>
    <row r="1050" spans="1:10" x14ac:dyDescent="0.25">
      <c r="A1050" t="s">
        <v>35</v>
      </c>
      <c r="B1050" t="s">
        <v>660</v>
      </c>
      <c r="C1050" t="s">
        <v>670</v>
      </c>
      <c r="D1050" s="2">
        <v>722354</v>
      </c>
      <c r="E1050" t="s">
        <v>13</v>
      </c>
      <c r="F1050">
        <v>32.3367</v>
      </c>
      <c r="G1050">
        <v>-90.221400000000003</v>
      </c>
      <c r="H1050">
        <v>-6</v>
      </c>
      <c r="I1050">
        <v>104.2</v>
      </c>
      <c r="J1050" t="str">
        <f>HYPERLINK("https://climate.onebuilding.org/WMO_Region_4_North_and_Central_America/USA_United_States_of_America/MS_Mississippi/USA_MS_Jackson-Hawkins.Field.AP.722354_US.Normals.2006-2020.zip")</f>
        <v>https://climate.onebuilding.org/WMO_Region_4_North_and_Central_America/USA_United_States_of_America/MS_Mississippi/USA_MS_Jackson-Hawkins.Field.AP.722354_US.Normals.2006-2020.zip</v>
      </c>
    </row>
    <row r="1051" spans="1:10" x14ac:dyDescent="0.25">
      <c r="A1051" t="s">
        <v>35</v>
      </c>
      <c r="B1051" t="s">
        <v>660</v>
      </c>
      <c r="C1051" t="s">
        <v>671</v>
      </c>
      <c r="D1051" s="2">
        <v>722358</v>
      </c>
      <c r="E1051" t="s">
        <v>13</v>
      </c>
      <c r="F1051">
        <v>31.1828</v>
      </c>
      <c r="G1051">
        <v>-90.470799999999997</v>
      </c>
      <c r="H1051">
        <v>-6</v>
      </c>
      <c r="I1051">
        <v>125.9</v>
      </c>
      <c r="J1051" t="str">
        <f>HYPERLINK("https://climate.onebuilding.org/WMO_Region_4_North_and_Central_America/USA_United_States_of_America/MS_Mississippi/USA_MS_McComb-Pike.County.AP-Lewis.Field.722358_US.Normals.1981-2010.zip")</f>
        <v>https://climate.onebuilding.org/WMO_Region_4_North_and_Central_America/USA_United_States_of_America/MS_Mississippi/USA_MS_McComb-Pike.County.AP-Lewis.Field.722358_US.Normals.1981-2010.zip</v>
      </c>
    </row>
    <row r="1052" spans="1:10" x14ac:dyDescent="0.25">
      <c r="A1052" t="s">
        <v>35</v>
      </c>
      <c r="B1052" t="s">
        <v>660</v>
      </c>
      <c r="C1052" t="s">
        <v>671</v>
      </c>
      <c r="D1052" s="2">
        <v>722358</v>
      </c>
      <c r="E1052" t="s">
        <v>13</v>
      </c>
      <c r="F1052">
        <v>31.1828</v>
      </c>
      <c r="G1052">
        <v>-90.470799999999997</v>
      </c>
      <c r="H1052">
        <v>-6</v>
      </c>
      <c r="I1052">
        <v>125.9</v>
      </c>
      <c r="J1052" t="str">
        <f>HYPERLINK("https://climate.onebuilding.org/WMO_Region_4_North_and_Central_America/USA_United_States_of_America/MS_Mississippi/USA_MS_McComb-Pike.County.AP-Lewis.Field.722358_US.Normals.1991-2020.zip")</f>
        <v>https://climate.onebuilding.org/WMO_Region_4_North_and_Central_America/USA_United_States_of_America/MS_Mississippi/USA_MS_McComb-Pike.County.AP-Lewis.Field.722358_US.Normals.1991-2020.zip</v>
      </c>
    </row>
    <row r="1053" spans="1:10" x14ac:dyDescent="0.25">
      <c r="A1053" t="s">
        <v>35</v>
      </c>
      <c r="B1053" t="s">
        <v>660</v>
      </c>
      <c r="C1053" t="s">
        <v>671</v>
      </c>
      <c r="D1053" s="2">
        <v>722358</v>
      </c>
      <c r="E1053" t="s">
        <v>13</v>
      </c>
      <c r="F1053">
        <v>31.1828</v>
      </c>
      <c r="G1053">
        <v>-90.470799999999997</v>
      </c>
      <c r="H1053">
        <v>-6</v>
      </c>
      <c r="I1053">
        <v>125.9</v>
      </c>
      <c r="J1053" t="str">
        <f>HYPERLINK("https://climate.onebuilding.org/WMO_Region_4_North_and_Central_America/USA_United_States_of_America/MS_Mississippi/USA_MS_McComb-Pike.County.AP-Lewis.Field.722358_US.Normals.2006-2020.zip")</f>
        <v>https://climate.onebuilding.org/WMO_Region_4_North_and_Central_America/USA_United_States_of_America/MS_Mississippi/USA_MS_McComb-Pike.County.AP-Lewis.Field.722358_US.Normals.2006-2020.zip</v>
      </c>
    </row>
    <row r="1054" spans="1:10" x14ac:dyDescent="0.25">
      <c r="A1054" t="s">
        <v>35</v>
      </c>
      <c r="B1054" t="s">
        <v>660</v>
      </c>
      <c r="C1054" t="s">
        <v>672</v>
      </c>
      <c r="D1054" s="2">
        <v>722340</v>
      </c>
      <c r="E1054" t="s">
        <v>13</v>
      </c>
      <c r="F1054">
        <v>32.334699999999998</v>
      </c>
      <c r="G1054">
        <v>-88.744200000000006</v>
      </c>
      <c r="H1054">
        <v>-6</v>
      </c>
      <c r="I1054">
        <v>89.6</v>
      </c>
      <c r="J1054" t="str">
        <f>HYPERLINK("https://climate.onebuilding.org/WMO_Region_4_North_and_Central_America/USA_United_States_of_America/MS_Mississippi/USA_MS_Meridian.Rgnl.AP-Key.Field.722340_US.Normals.1981-2010.zip")</f>
        <v>https://climate.onebuilding.org/WMO_Region_4_North_and_Central_America/USA_United_States_of_America/MS_Mississippi/USA_MS_Meridian.Rgnl.AP-Key.Field.722340_US.Normals.1981-2010.zip</v>
      </c>
    </row>
    <row r="1055" spans="1:10" x14ac:dyDescent="0.25">
      <c r="A1055" t="s">
        <v>35</v>
      </c>
      <c r="B1055" t="s">
        <v>660</v>
      </c>
      <c r="C1055" t="s">
        <v>672</v>
      </c>
      <c r="D1055" s="2">
        <v>722340</v>
      </c>
      <c r="E1055" t="s">
        <v>13</v>
      </c>
      <c r="F1055">
        <v>32.334699999999998</v>
      </c>
      <c r="G1055">
        <v>-88.744200000000006</v>
      </c>
      <c r="H1055">
        <v>-6</v>
      </c>
      <c r="I1055">
        <v>89.6</v>
      </c>
      <c r="J1055" t="str">
        <f>HYPERLINK("https://climate.onebuilding.org/WMO_Region_4_North_and_Central_America/USA_United_States_of_America/MS_Mississippi/USA_MS_Meridian.Rgnl.AP-Key.Field.722340_US.Normals.1991-2020.zip")</f>
        <v>https://climate.onebuilding.org/WMO_Region_4_North_and_Central_America/USA_United_States_of_America/MS_Mississippi/USA_MS_Meridian.Rgnl.AP-Key.Field.722340_US.Normals.1991-2020.zip</v>
      </c>
    </row>
    <row r="1056" spans="1:10" x14ac:dyDescent="0.25">
      <c r="A1056" t="s">
        <v>35</v>
      </c>
      <c r="B1056" t="s">
        <v>660</v>
      </c>
      <c r="C1056" t="s">
        <v>672</v>
      </c>
      <c r="D1056" s="2">
        <v>722340</v>
      </c>
      <c r="E1056" t="s">
        <v>13</v>
      </c>
      <c r="F1056">
        <v>32.334699999999998</v>
      </c>
      <c r="G1056">
        <v>-88.744200000000006</v>
      </c>
      <c r="H1056">
        <v>-6</v>
      </c>
      <c r="I1056">
        <v>89.6</v>
      </c>
      <c r="J1056" t="str">
        <f>HYPERLINK("https://climate.onebuilding.org/WMO_Region_4_North_and_Central_America/USA_United_States_of_America/MS_Mississippi/USA_MS_Meridian.Rgnl.AP-Key.Field.722340_US.Normals.2006-2020.zip")</f>
        <v>https://climate.onebuilding.org/WMO_Region_4_North_and_Central_America/USA_United_States_of_America/MS_Mississippi/USA_MS_Meridian.Rgnl.AP-Key.Field.722340_US.Normals.2006-2020.zip</v>
      </c>
    </row>
    <row r="1057" spans="1:10" x14ac:dyDescent="0.25">
      <c r="A1057" t="s">
        <v>35</v>
      </c>
      <c r="B1057" t="s">
        <v>660</v>
      </c>
      <c r="C1057" t="s">
        <v>673</v>
      </c>
      <c r="D1057" s="2">
        <v>722345</v>
      </c>
      <c r="E1057" t="s">
        <v>13</v>
      </c>
      <c r="F1057">
        <v>32.549999999999997</v>
      </c>
      <c r="G1057">
        <v>-88.566699999999997</v>
      </c>
      <c r="H1057">
        <v>-6</v>
      </c>
      <c r="I1057">
        <v>82.6</v>
      </c>
      <c r="J1057" t="str">
        <f>HYPERLINK("https://climate.onebuilding.org/WMO_Region_4_North_and_Central_America/USA_United_States_of_America/MS_Mississippi/USA_MS_NAS.Meridian-McCain.Field.722345_US.Normals.2006-2020.zip")</f>
        <v>https://climate.onebuilding.org/WMO_Region_4_North_and_Central_America/USA_United_States_of_America/MS_Mississippi/USA_MS_NAS.Meridian-McCain.Field.722345_US.Normals.2006-2020.zip</v>
      </c>
    </row>
    <row r="1058" spans="1:10" x14ac:dyDescent="0.25">
      <c r="A1058" t="s">
        <v>35</v>
      </c>
      <c r="B1058" t="s">
        <v>660</v>
      </c>
      <c r="C1058" t="s">
        <v>674</v>
      </c>
      <c r="D1058" s="2">
        <v>747688</v>
      </c>
      <c r="E1058" t="s">
        <v>13</v>
      </c>
      <c r="F1058">
        <v>30.4636</v>
      </c>
      <c r="G1058">
        <v>-88.531899999999993</v>
      </c>
      <c r="H1058">
        <v>-6</v>
      </c>
      <c r="I1058">
        <v>5.5</v>
      </c>
      <c r="J1058" t="str">
        <f>HYPERLINK("https://climate.onebuilding.org/WMO_Region_4_North_and_Central_America/USA_United_States_of_America/MS_Mississippi/USA_MS_Pascagoula-Lott.Intl.AP.747688_US.Normals.2006-2020.zip")</f>
        <v>https://climate.onebuilding.org/WMO_Region_4_North_and_Central_America/USA_United_States_of_America/MS_Mississippi/USA_MS_Pascagoula-Lott.Intl.AP.747688_US.Normals.2006-2020.zip</v>
      </c>
    </row>
    <row r="1059" spans="1:10" x14ac:dyDescent="0.25">
      <c r="A1059" t="s">
        <v>35</v>
      </c>
      <c r="B1059" t="s">
        <v>660</v>
      </c>
      <c r="C1059" t="s">
        <v>675</v>
      </c>
      <c r="D1059" s="2">
        <v>723320</v>
      </c>
      <c r="E1059" t="s">
        <v>13</v>
      </c>
      <c r="F1059">
        <v>34.2622</v>
      </c>
      <c r="G1059">
        <v>-88.7714</v>
      </c>
      <c r="H1059">
        <v>-6</v>
      </c>
      <c r="I1059">
        <v>110</v>
      </c>
      <c r="J1059" t="str">
        <f>HYPERLINK("https://climate.onebuilding.org/WMO_Region_4_North_and_Central_America/USA_United_States_of_America/MS_Mississippi/USA_MS_Tupelo.Rgnl.AP.723320_US.Normals.1981-2010.zip")</f>
        <v>https://climate.onebuilding.org/WMO_Region_4_North_and_Central_America/USA_United_States_of_America/MS_Mississippi/USA_MS_Tupelo.Rgnl.AP.723320_US.Normals.1981-2010.zip</v>
      </c>
    </row>
    <row r="1060" spans="1:10" x14ac:dyDescent="0.25">
      <c r="A1060" t="s">
        <v>35</v>
      </c>
      <c r="B1060" t="s">
        <v>660</v>
      </c>
      <c r="C1060" t="s">
        <v>675</v>
      </c>
      <c r="D1060" s="2">
        <v>723320</v>
      </c>
      <c r="E1060" t="s">
        <v>13</v>
      </c>
      <c r="F1060">
        <v>34.2622</v>
      </c>
      <c r="G1060">
        <v>-88.7714</v>
      </c>
      <c r="H1060">
        <v>-6</v>
      </c>
      <c r="I1060">
        <v>110</v>
      </c>
      <c r="J1060" t="str">
        <f>HYPERLINK("https://climate.onebuilding.org/WMO_Region_4_North_and_Central_America/USA_United_States_of_America/MS_Mississippi/USA_MS_Tupelo.Rgnl.AP.723320_US.Normals.1991-2020.zip")</f>
        <v>https://climate.onebuilding.org/WMO_Region_4_North_and_Central_America/USA_United_States_of_America/MS_Mississippi/USA_MS_Tupelo.Rgnl.AP.723320_US.Normals.1991-2020.zip</v>
      </c>
    </row>
    <row r="1061" spans="1:10" x14ac:dyDescent="0.25">
      <c r="A1061" t="s">
        <v>35</v>
      </c>
      <c r="B1061" t="s">
        <v>660</v>
      </c>
      <c r="C1061" t="s">
        <v>675</v>
      </c>
      <c r="D1061" s="2">
        <v>723320</v>
      </c>
      <c r="E1061" t="s">
        <v>13</v>
      </c>
      <c r="F1061">
        <v>34.2622</v>
      </c>
      <c r="G1061">
        <v>-88.7714</v>
      </c>
      <c r="H1061">
        <v>-6</v>
      </c>
      <c r="I1061">
        <v>110</v>
      </c>
      <c r="J1061" t="str">
        <f>HYPERLINK("https://climate.onebuilding.org/WMO_Region_4_North_and_Central_America/USA_United_States_of_America/MS_Mississippi/USA_MS_Tupelo.Rgnl.AP.723320_US.Normals.2006-2020.zip")</f>
        <v>https://climate.onebuilding.org/WMO_Region_4_North_and_Central_America/USA_United_States_of_America/MS_Mississippi/USA_MS_Tupelo.Rgnl.AP.723320_US.Normals.2006-2020.zip</v>
      </c>
    </row>
    <row r="1062" spans="1:10" x14ac:dyDescent="0.25">
      <c r="A1062" t="s">
        <v>35</v>
      </c>
      <c r="B1062" t="s">
        <v>676</v>
      </c>
      <c r="C1062" t="s">
        <v>677</v>
      </c>
      <c r="D1062" s="2">
        <v>726777</v>
      </c>
      <c r="E1062" t="s">
        <v>13</v>
      </c>
      <c r="F1062">
        <v>46.3583</v>
      </c>
      <c r="G1062">
        <v>-104.25</v>
      </c>
      <c r="H1062">
        <v>-7</v>
      </c>
      <c r="I1062">
        <v>905.6</v>
      </c>
      <c r="J1062" t="str">
        <f>HYPERLINK("https://climate.onebuilding.org/WMO_Region_4_North_and_Central_America/USA_United_States_of_America/MT_Montana/USA_MT_Baker.Muni.AP.726777_US.Normals.2006-2020.zip")</f>
        <v>https://climate.onebuilding.org/WMO_Region_4_North_and_Central_America/USA_United_States_of_America/MT_Montana/USA_MT_Baker.Muni.AP.726777_US.Normals.2006-2020.zip</v>
      </c>
    </row>
    <row r="1063" spans="1:10" x14ac:dyDescent="0.25">
      <c r="A1063" t="s">
        <v>35</v>
      </c>
      <c r="B1063" t="s">
        <v>676</v>
      </c>
      <c r="C1063" t="s">
        <v>678</v>
      </c>
      <c r="D1063" s="2">
        <v>742270</v>
      </c>
      <c r="E1063" t="s">
        <v>13</v>
      </c>
      <c r="F1063">
        <v>45.158099999999997</v>
      </c>
      <c r="G1063">
        <v>-113.00579999999999</v>
      </c>
      <c r="H1063">
        <v>-8</v>
      </c>
      <c r="I1063">
        <v>1820</v>
      </c>
      <c r="J1063" t="str">
        <f>HYPERLINK("https://climate.onebuilding.org/WMO_Region_4_North_and_Central_America/USA_United_States_of_America/MT_Montana/USA_MT_Bannack.State.Park.742270_US.Normals.2006-2020.zip")</f>
        <v>https://climate.onebuilding.org/WMO_Region_4_North_and_Central_America/USA_United_States_of_America/MT_Montana/USA_MT_Bannack.State.Park.742270_US.Normals.2006-2020.zip</v>
      </c>
    </row>
    <row r="1064" spans="1:10" x14ac:dyDescent="0.25">
      <c r="A1064" t="s">
        <v>35</v>
      </c>
      <c r="B1064" t="s">
        <v>676</v>
      </c>
      <c r="C1064" t="s">
        <v>679</v>
      </c>
      <c r="D1064" s="2">
        <v>726770</v>
      </c>
      <c r="E1064" t="s">
        <v>13</v>
      </c>
      <c r="F1064">
        <v>45.806899999999999</v>
      </c>
      <c r="G1064">
        <v>-108.54219999999999</v>
      </c>
      <c r="H1064">
        <v>-7</v>
      </c>
      <c r="I1064">
        <v>1091.5</v>
      </c>
      <c r="J1064" t="str">
        <f>HYPERLINK("https://climate.onebuilding.org/WMO_Region_4_North_and_Central_America/USA_United_States_of_America/MT_Montana/USA_MT_Billings.Logan.Intl.AP.726770_US.Normals.1981-2010.zip")</f>
        <v>https://climate.onebuilding.org/WMO_Region_4_North_and_Central_America/USA_United_States_of_America/MT_Montana/USA_MT_Billings.Logan.Intl.AP.726770_US.Normals.1981-2010.zip</v>
      </c>
    </row>
    <row r="1065" spans="1:10" x14ac:dyDescent="0.25">
      <c r="A1065" t="s">
        <v>35</v>
      </c>
      <c r="B1065" t="s">
        <v>676</v>
      </c>
      <c r="C1065" t="s">
        <v>679</v>
      </c>
      <c r="D1065" s="2">
        <v>726770</v>
      </c>
      <c r="E1065" t="s">
        <v>13</v>
      </c>
      <c r="F1065">
        <v>45.806899999999999</v>
      </c>
      <c r="G1065">
        <v>-108.54219999999999</v>
      </c>
      <c r="H1065">
        <v>-7</v>
      </c>
      <c r="I1065">
        <v>1091.5</v>
      </c>
      <c r="J1065" t="str">
        <f>HYPERLINK("https://climate.onebuilding.org/WMO_Region_4_North_and_Central_America/USA_United_States_of_America/MT_Montana/USA_MT_Billings.Logan.Intl.AP.726770_US.Normals.1991-2020.zip")</f>
        <v>https://climate.onebuilding.org/WMO_Region_4_North_and_Central_America/USA_United_States_of_America/MT_Montana/USA_MT_Billings.Logan.Intl.AP.726770_US.Normals.1991-2020.zip</v>
      </c>
    </row>
    <row r="1066" spans="1:10" x14ac:dyDescent="0.25">
      <c r="A1066" t="s">
        <v>35</v>
      </c>
      <c r="B1066" t="s">
        <v>676</v>
      </c>
      <c r="C1066" t="s">
        <v>679</v>
      </c>
      <c r="D1066" s="2">
        <v>726770</v>
      </c>
      <c r="E1066" t="s">
        <v>13</v>
      </c>
      <c r="F1066">
        <v>45.806899999999999</v>
      </c>
      <c r="G1066">
        <v>-108.54219999999999</v>
      </c>
      <c r="H1066">
        <v>-7</v>
      </c>
      <c r="I1066">
        <v>1091.5</v>
      </c>
      <c r="J1066" t="str">
        <f>HYPERLINK("https://climate.onebuilding.org/WMO_Region_4_North_and_Central_America/USA_United_States_of_America/MT_Montana/USA_MT_Billings.Logan.Intl.AP.726770_US.Normals.2006-2020.zip")</f>
        <v>https://climate.onebuilding.org/WMO_Region_4_North_and_Central_America/USA_United_States_of_America/MT_Montana/USA_MT_Billings.Logan.Intl.AP.726770_US.Normals.2006-2020.zip</v>
      </c>
    </row>
    <row r="1067" spans="1:10" x14ac:dyDescent="0.25">
      <c r="A1067" t="s">
        <v>35</v>
      </c>
      <c r="B1067" t="s">
        <v>676</v>
      </c>
      <c r="C1067" t="s">
        <v>680</v>
      </c>
      <c r="D1067" s="2">
        <v>726797</v>
      </c>
      <c r="E1067" t="s">
        <v>13</v>
      </c>
      <c r="F1067">
        <v>45.7881</v>
      </c>
      <c r="G1067">
        <v>-111.16079999999999</v>
      </c>
      <c r="H1067">
        <v>-7</v>
      </c>
      <c r="I1067">
        <v>1349.3</v>
      </c>
      <c r="J1067" t="str">
        <f>HYPERLINK("https://climate.onebuilding.org/WMO_Region_4_North_and_Central_America/USA_United_States_of_America/MT_Montana/USA_MT_Bozeman.Yellowstone.Intl.AP-Gallatin.Field.726797_US.Normals.1991-2020.zip")</f>
        <v>https://climate.onebuilding.org/WMO_Region_4_North_and_Central_America/USA_United_States_of_America/MT_Montana/USA_MT_Bozeman.Yellowstone.Intl.AP-Gallatin.Field.726797_US.Normals.1991-2020.zip</v>
      </c>
    </row>
    <row r="1068" spans="1:10" x14ac:dyDescent="0.25">
      <c r="A1068" t="s">
        <v>35</v>
      </c>
      <c r="B1068" t="s">
        <v>676</v>
      </c>
      <c r="C1068" t="s">
        <v>681</v>
      </c>
      <c r="D1068" s="2">
        <v>727740</v>
      </c>
      <c r="E1068" t="s">
        <v>13</v>
      </c>
      <c r="F1068">
        <v>45.964700000000001</v>
      </c>
      <c r="G1068">
        <v>-112.50060000000001</v>
      </c>
      <c r="H1068">
        <v>-8</v>
      </c>
      <c r="I1068">
        <v>1678.2</v>
      </c>
      <c r="J1068" t="str">
        <f>HYPERLINK("https://climate.onebuilding.org/WMO_Region_4_North_and_Central_America/USA_United_States_of_America/MT_Montana/USA_MT_Butte-Mooney.AP.727740_US.Normals.2006-2020.zip")</f>
        <v>https://climate.onebuilding.org/WMO_Region_4_North_and_Central_America/USA_United_States_of_America/MT_Montana/USA_MT_Butte-Mooney.AP.727740_US.Normals.2006-2020.zip</v>
      </c>
    </row>
    <row r="1069" spans="1:10" x14ac:dyDescent="0.25">
      <c r="A1069" t="s">
        <v>35</v>
      </c>
      <c r="B1069" t="s">
        <v>676</v>
      </c>
      <c r="C1069" t="s">
        <v>682</v>
      </c>
      <c r="D1069" s="2">
        <v>727690</v>
      </c>
      <c r="E1069" t="s">
        <v>13</v>
      </c>
      <c r="F1069">
        <v>48.603299999999997</v>
      </c>
      <c r="G1069">
        <v>-112.3753</v>
      </c>
      <c r="H1069">
        <v>-7</v>
      </c>
      <c r="I1069">
        <v>1169.8</v>
      </c>
      <c r="J1069" t="str">
        <f>HYPERLINK("https://climate.onebuilding.org/WMO_Region_4_North_and_Central_America/USA_United_States_of_America/MT_Montana/USA_MT_Cut.Bank.Intl.AP.727690_US.Normals.2006-2020.zip")</f>
        <v>https://climate.onebuilding.org/WMO_Region_4_North_and_Central_America/USA_United_States_of_America/MT_Montana/USA_MT_Cut.Bank.Intl.AP.727690_US.Normals.2006-2020.zip</v>
      </c>
    </row>
    <row r="1070" spans="1:10" x14ac:dyDescent="0.25">
      <c r="A1070" t="s">
        <v>35</v>
      </c>
      <c r="B1070" t="s">
        <v>676</v>
      </c>
      <c r="C1070" t="s">
        <v>683</v>
      </c>
      <c r="D1070" s="2">
        <v>727700</v>
      </c>
      <c r="E1070" t="s">
        <v>13</v>
      </c>
      <c r="F1070">
        <v>45.2575</v>
      </c>
      <c r="G1070">
        <v>-112.5545</v>
      </c>
      <c r="H1070">
        <v>-8</v>
      </c>
      <c r="I1070">
        <v>1585</v>
      </c>
      <c r="J1070" t="str">
        <f>HYPERLINK("https://climate.onebuilding.org/WMO_Region_4_North_and_Central_America/USA_United_States_of_America/MT_Montana/USA_MT_Dillon.AP.727700_US.Normals.2006-2020.zip")</f>
        <v>https://climate.onebuilding.org/WMO_Region_4_North_and_Central_America/USA_United_States_of_America/MT_Montana/USA_MT_Dillon.AP.727700_US.Normals.2006-2020.zip</v>
      </c>
    </row>
    <row r="1071" spans="1:10" x14ac:dyDescent="0.25">
      <c r="A1071" t="s">
        <v>35</v>
      </c>
      <c r="B1071" t="s">
        <v>676</v>
      </c>
      <c r="C1071" t="s">
        <v>684</v>
      </c>
      <c r="D1071" s="2">
        <v>742320</v>
      </c>
      <c r="E1071" t="s">
        <v>13</v>
      </c>
      <c r="F1071">
        <v>48.308300000000003</v>
      </c>
      <c r="G1071">
        <v>-105.10169999999999</v>
      </c>
      <c r="H1071">
        <v>-7</v>
      </c>
      <c r="I1071">
        <v>635.5</v>
      </c>
      <c r="J1071" t="str">
        <f>HYPERLINK("https://climate.onebuilding.org/WMO_Region_4_North_and_Central_America/USA_United_States_of_America/MT_Montana/USA_MT_Ft.Peck.SURFRAD.742320_US.Normals.2006-2020.zip")</f>
        <v>https://climate.onebuilding.org/WMO_Region_4_North_and_Central_America/USA_United_States_of_America/MT_Montana/USA_MT_Ft.Peck.SURFRAD.742320_US.Normals.2006-2020.zip</v>
      </c>
    </row>
    <row r="1072" spans="1:10" x14ac:dyDescent="0.25">
      <c r="A1072" t="s">
        <v>35</v>
      </c>
      <c r="B1072" t="s">
        <v>676</v>
      </c>
      <c r="C1072" t="s">
        <v>685</v>
      </c>
      <c r="D1072" s="2">
        <v>742290</v>
      </c>
      <c r="E1072" t="s">
        <v>13</v>
      </c>
      <c r="F1072">
        <v>48.741100000000003</v>
      </c>
      <c r="G1072">
        <v>-113.4331</v>
      </c>
      <c r="H1072">
        <v>-8</v>
      </c>
      <c r="I1072">
        <v>1388.4</v>
      </c>
      <c r="J1072" t="str">
        <f>HYPERLINK("https://climate.onebuilding.org/WMO_Region_4_North_and_Central_America/USA_United_States_of_America/MT_Montana/USA_MT_Glacier.Natl.Park.742290_US.Normals.2006-2020.zip")</f>
        <v>https://climate.onebuilding.org/WMO_Region_4_North_and_Central_America/USA_United_States_of_America/MT_Montana/USA_MT_Glacier.Natl.Park.742290_US.Normals.2006-2020.zip</v>
      </c>
    </row>
    <row r="1073" spans="1:10" x14ac:dyDescent="0.25">
      <c r="A1073" t="s">
        <v>35</v>
      </c>
      <c r="B1073" t="s">
        <v>676</v>
      </c>
      <c r="C1073" t="s">
        <v>686</v>
      </c>
      <c r="D1073" s="2">
        <v>727680</v>
      </c>
      <c r="E1073" t="s">
        <v>13</v>
      </c>
      <c r="F1073">
        <v>48.213799999999999</v>
      </c>
      <c r="G1073">
        <v>-106.62130000000001</v>
      </c>
      <c r="H1073">
        <v>-7</v>
      </c>
      <c r="I1073">
        <v>696.5</v>
      </c>
      <c r="J1073" t="str">
        <f>HYPERLINK("https://climate.onebuilding.org/WMO_Region_4_North_and_Central_America/USA_United_States_of_America/MT_Montana/USA_MT_Glasgow.Intl.AP-Wokal.Field.727680_US.Normals.1981-2010.zip")</f>
        <v>https://climate.onebuilding.org/WMO_Region_4_North_and_Central_America/USA_United_States_of_America/MT_Montana/USA_MT_Glasgow.Intl.AP-Wokal.Field.727680_US.Normals.1981-2010.zip</v>
      </c>
    </row>
    <row r="1074" spans="1:10" x14ac:dyDescent="0.25">
      <c r="A1074" t="s">
        <v>35</v>
      </c>
      <c r="B1074" t="s">
        <v>676</v>
      </c>
      <c r="C1074" t="s">
        <v>686</v>
      </c>
      <c r="D1074" s="2">
        <v>727680</v>
      </c>
      <c r="E1074" t="s">
        <v>13</v>
      </c>
      <c r="F1074">
        <v>48.213799999999999</v>
      </c>
      <c r="G1074">
        <v>-106.62130000000001</v>
      </c>
      <c r="H1074">
        <v>-7</v>
      </c>
      <c r="I1074">
        <v>696.5</v>
      </c>
      <c r="J1074" t="str">
        <f>HYPERLINK("https://climate.onebuilding.org/WMO_Region_4_North_and_Central_America/USA_United_States_of_America/MT_Montana/USA_MT_Glasgow.Intl.AP-Wokal.Field.727680_US.Normals.1991-2020.zip")</f>
        <v>https://climate.onebuilding.org/WMO_Region_4_North_and_Central_America/USA_United_States_of_America/MT_Montana/USA_MT_Glasgow.Intl.AP-Wokal.Field.727680_US.Normals.1991-2020.zip</v>
      </c>
    </row>
    <row r="1075" spans="1:10" x14ac:dyDescent="0.25">
      <c r="A1075" t="s">
        <v>35</v>
      </c>
      <c r="B1075" t="s">
        <v>676</v>
      </c>
      <c r="C1075" t="s">
        <v>686</v>
      </c>
      <c r="D1075" s="2">
        <v>727680</v>
      </c>
      <c r="E1075" t="s">
        <v>13</v>
      </c>
      <c r="F1075">
        <v>48.213799999999999</v>
      </c>
      <c r="G1075">
        <v>-106.62130000000001</v>
      </c>
      <c r="H1075">
        <v>-7</v>
      </c>
      <c r="I1075">
        <v>696.5</v>
      </c>
      <c r="J1075" t="str">
        <f>HYPERLINK("https://climate.onebuilding.org/WMO_Region_4_North_and_Central_America/USA_United_States_of_America/MT_Montana/USA_MT_Glasgow.Intl.AP-Wokal.Field.727680_US.Normals.2006-2020.zip")</f>
        <v>https://climate.onebuilding.org/WMO_Region_4_North_and_Central_America/USA_United_States_of_America/MT_Montana/USA_MT_Glasgow.Intl.AP-Wokal.Field.727680_US.Normals.2006-2020.zip</v>
      </c>
    </row>
    <row r="1076" spans="1:10" x14ac:dyDescent="0.25">
      <c r="A1076" t="s">
        <v>35</v>
      </c>
      <c r="B1076" t="s">
        <v>676</v>
      </c>
      <c r="C1076" t="s">
        <v>687</v>
      </c>
      <c r="D1076" s="2">
        <v>727750</v>
      </c>
      <c r="E1076" t="s">
        <v>13</v>
      </c>
      <c r="F1076">
        <v>47.473300000000002</v>
      </c>
      <c r="G1076">
        <v>-111.3822</v>
      </c>
      <c r="H1076">
        <v>-7</v>
      </c>
      <c r="I1076">
        <v>1116.8</v>
      </c>
      <c r="J1076" t="str">
        <f>HYPERLINK("https://climate.onebuilding.org/WMO_Region_4_North_and_Central_America/USA_United_States_of_America/MT_Montana/USA_MT_Great.Falls.Intl.AP.727750_US.Normals.1981-2010.zip")</f>
        <v>https://climate.onebuilding.org/WMO_Region_4_North_and_Central_America/USA_United_States_of_America/MT_Montana/USA_MT_Great.Falls.Intl.AP.727750_US.Normals.1981-2010.zip</v>
      </c>
    </row>
    <row r="1077" spans="1:10" x14ac:dyDescent="0.25">
      <c r="A1077" t="s">
        <v>35</v>
      </c>
      <c r="B1077" t="s">
        <v>676</v>
      </c>
      <c r="C1077" t="s">
        <v>687</v>
      </c>
      <c r="D1077" s="2">
        <v>727750</v>
      </c>
      <c r="E1077" t="s">
        <v>13</v>
      </c>
      <c r="F1077">
        <v>47.473300000000002</v>
      </c>
      <c r="G1077">
        <v>-111.3822</v>
      </c>
      <c r="H1077">
        <v>-7</v>
      </c>
      <c r="I1077">
        <v>1116.8</v>
      </c>
      <c r="J1077" t="str">
        <f>HYPERLINK("https://climate.onebuilding.org/WMO_Region_4_North_and_Central_America/USA_United_States_of_America/MT_Montana/USA_MT_Great.Falls.Intl.AP.727750_US.Normals.1991-2020.zip")</f>
        <v>https://climate.onebuilding.org/WMO_Region_4_North_and_Central_America/USA_United_States_of_America/MT_Montana/USA_MT_Great.Falls.Intl.AP.727750_US.Normals.1991-2020.zip</v>
      </c>
    </row>
    <row r="1078" spans="1:10" x14ac:dyDescent="0.25">
      <c r="A1078" t="s">
        <v>35</v>
      </c>
      <c r="B1078" t="s">
        <v>676</v>
      </c>
      <c r="C1078" t="s">
        <v>687</v>
      </c>
      <c r="D1078" s="2">
        <v>727750</v>
      </c>
      <c r="E1078" t="s">
        <v>13</v>
      </c>
      <c r="F1078">
        <v>47.473300000000002</v>
      </c>
      <c r="G1078">
        <v>-111.3822</v>
      </c>
      <c r="H1078">
        <v>-7</v>
      </c>
      <c r="I1078">
        <v>1116.8</v>
      </c>
      <c r="J1078" t="str">
        <f>HYPERLINK("https://climate.onebuilding.org/WMO_Region_4_North_and_Central_America/USA_United_States_of_America/MT_Montana/USA_MT_Great.Falls.Intl.AP.727750_US.Normals.2006-2020.zip")</f>
        <v>https://climate.onebuilding.org/WMO_Region_4_North_and_Central_America/USA_United_States_of_America/MT_Montana/USA_MT_Great.Falls.Intl.AP.727750_US.Normals.2006-2020.zip</v>
      </c>
    </row>
    <row r="1079" spans="1:10" x14ac:dyDescent="0.25">
      <c r="A1079" t="s">
        <v>35</v>
      </c>
      <c r="B1079" t="s">
        <v>676</v>
      </c>
      <c r="C1079" t="s">
        <v>688</v>
      </c>
      <c r="D1079" s="2">
        <v>727770</v>
      </c>
      <c r="E1079" t="s">
        <v>13</v>
      </c>
      <c r="F1079">
        <v>48.5428</v>
      </c>
      <c r="G1079">
        <v>-109.7633</v>
      </c>
      <c r="H1079">
        <v>-7</v>
      </c>
      <c r="I1079">
        <v>787.9</v>
      </c>
      <c r="J1079" t="str">
        <f>HYPERLINK("https://climate.onebuilding.org/WMO_Region_4_North_and_Central_America/USA_United_States_of_America/MT_Montana/USA_MT_Havre.City-County.AP.727770_US.Normals.1991-2020.zip")</f>
        <v>https://climate.onebuilding.org/WMO_Region_4_North_and_Central_America/USA_United_States_of_America/MT_Montana/USA_MT_Havre.City-County.AP.727770_US.Normals.1991-2020.zip</v>
      </c>
    </row>
    <row r="1080" spans="1:10" x14ac:dyDescent="0.25">
      <c r="A1080" t="s">
        <v>35</v>
      </c>
      <c r="B1080" t="s">
        <v>676</v>
      </c>
      <c r="C1080" t="s">
        <v>688</v>
      </c>
      <c r="D1080" s="2">
        <v>727770</v>
      </c>
      <c r="E1080" t="s">
        <v>13</v>
      </c>
      <c r="F1080">
        <v>48.5428</v>
      </c>
      <c r="G1080">
        <v>-109.7633</v>
      </c>
      <c r="H1080">
        <v>-7</v>
      </c>
      <c r="I1080">
        <v>787.9</v>
      </c>
      <c r="J1080" t="str">
        <f>HYPERLINK("https://climate.onebuilding.org/WMO_Region_4_North_and_Central_America/USA_United_States_of_America/MT_Montana/USA_MT_Havre.City-County.AP.727770_US.Normals.2006-2020.zip")</f>
        <v>https://climate.onebuilding.org/WMO_Region_4_North_and_Central_America/USA_United_States_of_America/MT_Montana/USA_MT_Havre.City-County.AP.727770_US.Normals.2006-2020.zip</v>
      </c>
    </row>
    <row r="1081" spans="1:10" x14ac:dyDescent="0.25">
      <c r="A1081" t="s">
        <v>35</v>
      </c>
      <c r="B1081" t="s">
        <v>676</v>
      </c>
      <c r="C1081" t="s">
        <v>689</v>
      </c>
      <c r="D1081" s="2">
        <v>727720</v>
      </c>
      <c r="E1081" t="s">
        <v>13</v>
      </c>
      <c r="F1081">
        <v>46.605600000000003</v>
      </c>
      <c r="G1081">
        <v>-111.9636</v>
      </c>
      <c r="H1081">
        <v>-7</v>
      </c>
      <c r="I1081">
        <v>1166.8</v>
      </c>
      <c r="J1081" t="str">
        <f>HYPERLINK("https://climate.onebuilding.org/WMO_Region_4_North_and_Central_America/USA_United_States_of_America/MT_Montana/USA_MT_Helena.Rgnl.AP.727720_US.Normals.1981-2010.zip")</f>
        <v>https://climate.onebuilding.org/WMO_Region_4_North_and_Central_America/USA_United_States_of_America/MT_Montana/USA_MT_Helena.Rgnl.AP.727720_US.Normals.1981-2010.zip</v>
      </c>
    </row>
    <row r="1082" spans="1:10" x14ac:dyDescent="0.25">
      <c r="A1082" t="s">
        <v>35</v>
      </c>
      <c r="B1082" t="s">
        <v>676</v>
      </c>
      <c r="C1082" t="s">
        <v>689</v>
      </c>
      <c r="D1082" s="2">
        <v>727720</v>
      </c>
      <c r="E1082" t="s">
        <v>13</v>
      </c>
      <c r="F1082">
        <v>46.605600000000003</v>
      </c>
      <c r="G1082">
        <v>-111.9636</v>
      </c>
      <c r="H1082">
        <v>-7</v>
      </c>
      <c r="I1082">
        <v>1166.8</v>
      </c>
      <c r="J1082" t="str">
        <f>HYPERLINK("https://climate.onebuilding.org/WMO_Region_4_North_and_Central_America/USA_United_States_of_America/MT_Montana/USA_MT_Helena.Rgnl.AP.727720_US.Normals.1991-2020.zip")</f>
        <v>https://climate.onebuilding.org/WMO_Region_4_North_and_Central_America/USA_United_States_of_America/MT_Montana/USA_MT_Helena.Rgnl.AP.727720_US.Normals.1991-2020.zip</v>
      </c>
    </row>
    <row r="1083" spans="1:10" x14ac:dyDescent="0.25">
      <c r="A1083" t="s">
        <v>35</v>
      </c>
      <c r="B1083" t="s">
        <v>676</v>
      </c>
      <c r="C1083" t="s">
        <v>689</v>
      </c>
      <c r="D1083" s="2">
        <v>727720</v>
      </c>
      <c r="E1083" t="s">
        <v>13</v>
      </c>
      <c r="F1083">
        <v>46.605600000000003</v>
      </c>
      <c r="G1083">
        <v>-111.9636</v>
      </c>
      <c r="H1083">
        <v>-7</v>
      </c>
      <c r="I1083">
        <v>1166.8</v>
      </c>
      <c r="J1083" t="str">
        <f>HYPERLINK("https://climate.onebuilding.org/WMO_Region_4_North_and_Central_America/USA_United_States_of_America/MT_Montana/USA_MT_Helena.Rgnl.AP.727720_US.Normals.2006-2020.zip")</f>
        <v>https://climate.onebuilding.org/WMO_Region_4_North_and_Central_America/USA_United_States_of_America/MT_Montana/USA_MT_Helena.Rgnl.AP.727720_US.Normals.2006-2020.zip</v>
      </c>
    </row>
    <row r="1084" spans="1:10" x14ac:dyDescent="0.25">
      <c r="A1084" t="s">
        <v>35</v>
      </c>
      <c r="B1084" t="s">
        <v>676</v>
      </c>
      <c r="C1084" t="s">
        <v>690</v>
      </c>
      <c r="D1084" s="2">
        <v>727790</v>
      </c>
      <c r="E1084" t="s">
        <v>13</v>
      </c>
      <c r="F1084">
        <v>48.304200000000002</v>
      </c>
      <c r="G1084">
        <v>-114.2636</v>
      </c>
      <c r="H1084">
        <v>-8</v>
      </c>
      <c r="I1084">
        <v>901.3</v>
      </c>
      <c r="J1084" t="str">
        <f>HYPERLINK("https://climate.onebuilding.org/WMO_Region_4_North_and_Central_America/USA_United_States_of_America/MT_Montana/USA_MT_Kalispell-Glacier.Park.Intl.AP.727790_US.Normals.1981-2010.zip")</f>
        <v>https://climate.onebuilding.org/WMO_Region_4_North_and_Central_America/USA_United_States_of_America/MT_Montana/USA_MT_Kalispell-Glacier.Park.Intl.AP.727790_US.Normals.1981-2010.zip</v>
      </c>
    </row>
    <row r="1085" spans="1:10" x14ac:dyDescent="0.25">
      <c r="A1085" t="s">
        <v>35</v>
      </c>
      <c r="B1085" t="s">
        <v>676</v>
      </c>
      <c r="C1085" t="s">
        <v>690</v>
      </c>
      <c r="D1085" s="2">
        <v>727790</v>
      </c>
      <c r="E1085" t="s">
        <v>13</v>
      </c>
      <c r="F1085">
        <v>48.304200000000002</v>
      </c>
      <c r="G1085">
        <v>-114.2636</v>
      </c>
      <c r="H1085">
        <v>-8</v>
      </c>
      <c r="I1085">
        <v>901.3</v>
      </c>
      <c r="J1085" t="str">
        <f>HYPERLINK("https://climate.onebuilding.org/WMO_Region_4_North_and_Central_America/USA_United_States_of_America/MT_Montana/USA_MT_Kalispell-Glacier.Park.Intl.AP.727790_US.Normals.1991-2020.zip")</f>
        <v>https://climate.onebuilding.org/WMO_Region_4_North_and_Central_America/USA_United_States_of_America/MT_Montana/USA_MT_Kalispell-Glacier.Park.Intl.AP.727790_US.Normals.1991-2020.zip</v>
      </c>
    </row>
    <row r="1086" spans="1:10" x14ac:dyDescent="0.25">
      <c r="A1086" t="s">
        <v>35</v>
      </c>
      <c r="B1086" t="s">
        <v>676</v>
      </c>
      <c r="C1086" t="s">
        <v>690</v>
      </c>
      <c r="D1086" s="2">
        <v>727790</v>
      </c>
      <c r="E1086" t="s">
        <v>13</v>
      </c>
      <c r="F1086">
        <v>48.304200000000002</v>
      </c>
      <c r="G1086">
        <v>-114.2636</v>
      </c>
      <c r="H1086">
        <v>-8</v>
      </c>
      <c r="I1086">
        <v>901.3</v>
      </c>
      <c r="J1086" t="str">
        <f>HYPERLINK("https://climate.onebuilding.org/WMO_Region_4_North_and_Central_America/USA_United_States_of_America/MT_Montana/USA_MT_Kalispell-Glacier.Park.Intl.AP.727790_US.Normals.2006-2020.zip")</f>
        <v>https://climate.onebuilding.org/WMO_Region_4_North_and_Central_America/USA_United_States_of_America/MT_Montana/USA_MT_Kalispell-Glacier.Park.Intl.AP.727790_US.Normals.2006-2020.zip</v>
      </c>
    </row>
    <row r="1087" spans="1:10" x14ac:dyDescent="0.25">
      <c r="A1087" t="s">
        <v>35</v>
      </c>
      <c r="B1087" t="s">
        <v>676</v>
      </c>
      <c r="C1087" t="s">
        <v>691</v>
      </c>
      <c r="D1087" s="2">
        <v>726776</v>
      </c>
      <c r="E1087" t="s">
        <v>13</v>
      </c>
      <c r="F1087">
        <v>47.049199999999999</v>
      </c>
      <c r="G1087">
        <v>-109.45780000000001</v>
      </c>
      <c r="H1087">
        <v>-7</v>
      </c>
      <c r="I1087">
        <v>1263.4000000000001</v>
      </c>
      <c r="J1087" t="str">
        <f>HYPERLINK("https://climate.onebuilding.org/WMO_Region_4_North_and_Central_America/USA_United_States_of_America/MT_Montana/USA_MT_Lewistown.Muni.AP.726776_US.Normals.1991-2020.zip")</f>
        <v>https://climate.onebuilding.org/WMO_Region_4_North_and_Central_America/USA_United_States_of_America/MT_Montana/USA_MT_Lewistown.Muni.AP.726776_US.Normals.1991-2020.zip</v>
      </c>
    </row>
    <row r="1088" spans="1:10" x14ac:dyDescent="0.25">
      <c r="A1088" t="s">
        <v>35</v>
      </c>
      <c r="B1088" t="s">
        <v>676</v>
      </c>
      <c r="C1088" t="s">
        <v>691</v>
      </c>
      <c r="D1088" s="2">
        <v>726776</v>
      </c>
      <c r="E1088" t="s">
        <v>13</v>
      </c>
      <c r="F1088">
        <v>47.049199999999999</v>
      </c>
      <c r="G1088">
        <v>-109.45780000000001</v>
      </c>
      <c r="H1088">
        <v>-7</v>
      </c>
      <c r="I1088">
        <v>1263.4000000000001</v>
      </c>
      <c r="J1088" t="str">
        <f>HYPERLINK("https://climate.onebuilding.org/WMO_Region_4_North_and_Central_America/USA_United_States_of_America/MT_Montana/USA_MT_Lewistown.Muni.AP.726776_US.Normals.2006-2020.zip")</f>
        <v>https://climate.onebuilding.org/WMO_Region_4_North_and_Central_America/USA_United_States_of_America/MT_Montana/USA_MT_Lewistown.Muni.AP.726776_US.Normals.2006-2020.zip</v>
      </c>
    </row>
    <row r="1089" spans="1:10" x14ac:dyDescent="0.25">
      <c r="A1089" t="s">
        <v>35</v>
      </c>
      <c r="B1089" t="s">
        <v>676</v>
      </c>
      <c r="C1089" t="s">
        <v>692</v>
      </c>
      <c r="D1089" s="2">
        <v>726798</v>
      </c>
      <c r="E1089" t="s">
        <v>13</v>
      </c>
      <c r="F1089">
        <v>45.698300000000003</v>
      </c>
      <c r="G1089">
        <v>-110.4408</v>
      </c>
      <c r="H1089">
        <v>-7</v>
      </c>
      <c r="I1089">
        <v>1415.2</v>
      </c>
      <c r="J1089" t="str">
        <f>HYPERLINK("https://climate.onebuilding.org/WMO_Region_4_North_and_Central_America/USA_United_States_of_America/MT_Montana/USA_MT_Livingston-Mission.Field.AP.726798_US.Normals.2006-2020.zip")</f>
        <v>https://climate.onebuilding.org/WMO_Region_4_North_and_Central_America/USA_United_States_of_America/MT_Montana/USA_MT_Livingston-Mission.Field.AP.726798_US.Normals.2006-2020.zip</v>
      </c>
    </row>
    <row r="1090" spans="1:10" x14ac:dyDescent="0.25">
      <c r="A1090" t="s">
        <v>35</v>
      </c>
      <c r="B1090" t="s">
        <v>676</v>
      </c>
      <c r="C1090" t="s">
        <v>693</v>
      </c>
      <c r="D1090" s="2">
        <v>727755</v>
      </c>
      <c r="E1090" t="s">
        <v>13</v>
      </c>
      <c r="F1090">
        <v>47.5167</v>
      </c>
      <c r="G1090">
        <v>-111.1833</v>
      </c>
      <c r="H1090">
        <v>-7</v>
      </c>
      <c r="I1090">
        <v>1058.3</v>
      </c>
      <c r="J1090" t="str">
        <f>HYPERLINK("https://climate.onebuilding.org/WMO_Region_4_North_and_Central_America/USA_United_States_of_America/MT_Montana/USA_MT_Malmstrom.AFB.727755_US.Normals.2006-2020.zip")</f>
        <v>https://climate.onebuilding.org/WMO_Region_4_North_and_Central_America/USA_United_States_of_America/MT_Montana/USA_MT_Malmstrom.AFB.727755_US.Normals.2006-2020.zip</v>
      </c>
    </row>
    <row r="1091" spans="1:10" x14ac:dyDescent="0.25">
      <c r="A1091" t="s">
        <v>35</v>
      </c>
      <c r="B1091" t="s">
        <v>676</v>
      </c>
      <c r="C1091" t="s">
        <v>694</v>
      </c>
      <c r="D1091" s="2">
        <v>742300</v>
      </c>
      <c r="E1091" t="s">
        <v>13</v>
      </c>
      <c r="F1091">
        <v>46.426699999999997</v>
      </c>
      <c r="G1091">
        <v>-105.88249999999999</v>
      </c>
      <c r="H1091">
        <v>-7</v>
      </c>
      <c r="I1091">
        <v>799.8</v>
      </c>
      <c r="J1091" t="str">
        <f>HYPERLINK("https://climate.onebuilding.org/WMO_Region_4_North_and_Central_America/USA_United_States_of_America/MT_Montana/USA_MT_Miles.City.Muni.AP-Wiley.Field.742300_US.Normals.1991-2020.zip")</f>
        <v>https://climate.onebuilding.org/WMO_Region_4_North_and_Central_America/USA_United_States_of_America/MT_Montana/USA_MT_Miles.City.Muni.AP-Wiley.Field.742300_US.Normals.1991-2020.zip</v>
      </c>
    </row>
    <row r="1092" spans="1:10" x14ac:dyDescent="0.25">
      <c r="A1092" t="s">
        <v>35</v>
      </c>
      <c r="B1092" t="s">
        <v>676</v>
      </c>
      <c r="C1092" t="s">
        <v>694</v>
      </c>
      <c r="D1092" s="2">
        <v>742300</v>
      </c>
      <c r="E1092" t="s">
        <v>13</v>
      </c>
      <c r="F1092">
        <v>46.426699999999997</v>
      </c>
      <c r="G1092">
        <v>-105.88249999999999</v>
      </c>
      <c r="H1092">
        <v>-7</v>
      </c>
      <c r="I1092">
        <v>799.8</v>
      </c>
      <c r="J1092" t="str">
        <f>HYPERLINK("https://climate.onebuilding.org/WMO_Region_4_North_and_Central_America/USA_United_States_of_America/MT_Montana/USA_MT_Miles.City.Muni.AP-Wiley.Field.742300_US.Normals.2006-2020.zip")</f>
        <v>https://climate.onebuilding.org/WMO_Region_4_North_and_Central_America/USA_United_States_of_America/MT_Montana/USA_MT_Miles.City.Muni.AP-Wiley.Field.742300_US.Normals.2006-2020.zip</v>
      </c>
    </row>
    <row r="1093" spans="1:10" x14ac:dyDescent="0.25">
      <c r="A1093" t="s">
        <v>35</v>
      </c>
      <c r="B1093" t="s">
        <v>676</v>
      </c>
      <c r="C1093" t="s">
        <v>695</v>
      </c>
      <c r="D1093" s="2">
        <v>727730</v>
      </c>
      <c r="E1093" t="s">
        <v>13</v>
      </c>
      <c r="F1093">
        <v>46.9208</v>
      </c>
      <c r="G1093">
        <v>-114.0925</v>
      </c>
      <c r="H1093">
        <v>-8</v>
      </c>
      <c r="I1093">
        <v>972.9</v>
      </c>
      <c r="J1093" t="str">
        <f>HYPERLINK("https://climate.onebuilding.org/WMO_Region_4_North_and_Central_America/USA_United_States_of_America/MT_Montana/USA_MT_Missoula.Intl.AP.727730_US.Normals.1981-2010.zip")</f>
        <v>https://climate.onebuilding.org/WMO_Region_4_North_and_Central_America/USA_United_States_of_America/MT_Montana/USA_MT_Missoula.Intl.AP.727730_US.Normals.1981-2010.zip</v>
      </c>
    </row>
    <row r="1094" spans="1:10" x14ac:dyDescent="0.25">
      <c r="A1094" t="s">
        <v>35</v>
      </c>
      <c r="B1094" t="s">
        <v>676</v>
      </c>
      <c r="C1094" t="s">
        <v>695</v>
      </c>
      <c r="D1094" s="2">
        <v>727730</v>
      </c>
      <c r="E1094" t="s">
        <v>13</v>
      </c>
      <c r="F1094">
        <v>46.9208</v>
      </c>
      <c r="G1094">
        <v>-114.0925</v>
      </c>
      <c r="H1094">
        <v>-8</v>
      </c>
      <c r="I1094">
        <v>972.9</v>
      </c>
      <c r="J1094" t="str">
        <f>HYPERLINK("https://climate.onebuilding.org/WMO_Region_4_North_and_Central_America/USA_United_States_of_America/MT_Montana/USA_MT_Missoula.Intl.AP.727730_US.Normals.1991-2020.zip")</f>
        <v>https://climate.onebuilding.org/WMO_Region_4_North_and_Central_America/USA_United_States_of_America/MT_Montana/USA_MT_Missoula.Intl.AP.727730_US.Normals.1991-2020.zip</v>
      </c>
    </row>
    <row r="1095" spans="1:10" x14ac:dyDescent="0.25">
      <c r="A1095" t="s">
        <v>35</v>
      </c>
      <c r="B1095" t="s">
        <v>676</v>
      </c>
      <c r="C1095" t="s">
        <v>695</v>
      </c>
      <c r="D1095" s="2">
        <v>727730</v>
      </c>
      <c r="E1095" t="s">
        <v>13</v>
      </c>
      <c r="F1095">
        <v>46.9208</v>
      </c>
      <c r="G1095">
        <v>-114.0925</v>
      </c>
      <c r="H1095">
        <v>-8</v>
      </c>
      <c r="I1095">
        <v>972.9</v>
      </c>
      <c r="J1095" t="str">
        <f>HYPERLINK("https://climate.onebuilding.org/WMO_Region_4_North_and_Central_America/USA_United_States_of_America/MT_Montana/USA_MT_Missoula.Intl.AP.727730_US.Normals.2006-2020.zip")</f>
        <v>https://climate.onebuilding.org/WMO_Region_4_North_and_Central_America/USA_United_States_of_America/MT_Montana/USA_MT_Missoula.Intl.AP.727730_US.Normals.2006-2020.zip</v>
      </c>
    </row>
    <row r="1096" spans="1:10" x14ac:dyDescent="0.25">
      <c r="A1096" t="s">
        <v>35</v>
      </c>
      <c r="B1096" t="s">
        <v>676</v>
      </c>
      <c r="C1096" t="s">
        <v>696</v>
      </c>
      <c r="D1096" s="2">
        <v>727686</v>
      </c>
      <c r="E1096" t="s">
        <v>13</v>
      </c>
      <c r="F1096">
        <v>48.0944</v>
      </c>
      <c r="G1096">
        <v>-105.5744</v>
      </c>
      <c r="H1096">
        <v>-7</v>
      </c>
      <c r="I1096">
        <v>605.29999999999995</v>
      </c>
      <c r="J1096" t="str">
        <f>HYPERLINK("https://climate.onebuilding.org/WMO_Region_4_North_and_Central_America/USA_United_States_of_America/MT_Montana/USA_MT_Wolf.Point-Clayton.AP.727686_US.Normals.2006-2020.zip")</f>
        <v>https://climate.onebuilding.org/WMO_Region_4_North_and_Central_America/USA_United_States_of_America/MT_Montana/USA_MT_Wolf.Point-Clayton.AP.727686_US.Normals.2006-2020.zip</v>
      </c>
    </row>
    <row r="1097" spans="1:10" x14ac:dyDescent="0.25">
      <c r="A1097" t="s">
        <v>35</v>
      </c>
      <c r="B1097" t="s">
        <v>676</v>
      </c>
      <c r="C1097" t="s">
        <v>697</v>
      </c>
      <c r="D1097" s="2">
        <v>742310</v>
      </c>
      <c r="E1097" t="s">
        <v>13</v>
      </c>
      <c r="F1097">
        <v>48.488599999999998</v>
      </c>
      <c r="G1097">
        <v>-105.2097</v>
      </c>
      <c r="H1097">
        <v>-7</v>
      </c>
      <c r="I1097">
        <v>805.6</v>
      </c>
      <c r="J1097" t="str">
        <f>HYPERLINK("https://climate.onebuilding.org/WMO_Region_4_North_and_Central_America/USA_United_States_of_America/MT_Montana/USA_MT_Wolf.Point.34.NE.742310_US.Normals.2006-2020.zip")</f>
        <v>https://climate.onebuilding.org/WMO_Region_4_North_and_Central_America/USA_United_States_of_America/MT_Montana/USA_MT_Wolf.Point.34.NE.742310_US.Normals.2006-2020.zip</v>
      </c>
    </row>
    <row r="1098" spans="1:10" x14ac:dyDescent="0.25">
      <c r="A1098" t="s">
        <v>35</v>
      </c>
      <c r="B1098" t="s">
        <v>698</v>
      </c>
      <c r="C1098" t="s">
        <v>699</v>
      </c>
      <c r="D1098" s="2">
        <v>723150</v>
      </c>
      <c r="E1098" t="s">
        <v>13</v>
      </c>
      <c r="F1098">
        <v>35.431899999999999</v>
      </c>
      <c r="G1098">
        <v>-82.537499999999994</v>
      </c>
      <c r="H1098">
        <v>-6</v>
      </c>
      <c r="I1098">
        <v>645.29999999999995</v>
      </c>
      <c r="J1098" t="str">
        <f>HYPERLINK("https://climate.onebuilding.org/WMO_Region_4_North_and_Central_America/USA_United_States_of_America/NC_North_Carolina/USA_NC_Asheville.Rgnl.AP.723150_US.Normals.1981-2010.zip")</f>
        <v>https://climate.onebuilding.org/WMO_Region_4_North_and_Central_America/USA_United_States_of_America/NC_North_Carolina/USA_NC_Asheville.Rgnl.AP.723150_US.Normals.1981-2010.zip</v>
      </c>
    </row>
    <row r="1099" spans="1:10" x14ac:dyDescent="0.25">
      <c r="A1099" t="s">
        <v>35</v>
      </c>
      <c r="B1099" t="s">
        <v>698</v>
      </c>
      <c r="C1099" t="s">
        <v>699</v>
      </c>
      <c r="D1099" s="2">
        <v>723150</v>
      </c>
      <c r="E1099" t="s">
        <v>13</v>
      </c>
      <c r="F1099">
        <v>35.431899999999999</v>
      </c>
      <c r="G1099">
        <v>-82.537499999999994</v>
      </c>
      <c r="H1099">
        <v>-6</v>
      </c>
      <c r="I1099">
        <v>645.29999999999995</v>
      </c>
      <c r="J1099" t="str">
        <f>HYPERLINK("https://climate.onebuilding.org/WMO_Region_4_North_and_Central_America/USA_United_States_of_America/NC_North_Carolina/USA_NC_Asheville.Rgnl.AP.723150_US.Normals.1991-2020.zip")</f>
        <v>https://climate.onebuilding.org/WMO_Region_4_North_and_Central_America/USA_United_States_of_America/NC_North_Carolina/USA_NC_Asheville.Rgnl.AP.723150_US.Normals.1991-2020.zip</v>
      </c>
    </row>
    <row r="1100" spans="1:10" x14ac:dyDescent="0.25">
      <c r="A1100" t="s">
        <v>35</v>
      </c>
      <c r="B1100" t="s">
        <v>698</v>
      </c>
      <c r="C1100" t="s">
        <v>699</v>
      </c>
      <c r="D1100" s="2">
        <v>723150</v>
      </c>
      <c r="E1100" t="s">
        <v>13</v>
      </c>
      <c r="F1100">
        <v>35.431899999999999</v>
      </c>
      <c r="G1100">
        <v>-82.537499999999994</v>
      </c>
      <c r="H1100">
        <v>-6</v>
      </c>
      <c r="I1100">
        <v>645.29999999999995</v>
      </c>
      <c r="J1100" t="str">
        <f>HYPERLINK("https://climate.onebuilding.org/WMO_Region_4_North_and_Central_America/USA_United_States_of_America/NC_North_Carolina/USA_NC_Asheville.Rgnl.AP.723150_US.Normals.2006-2020.zip")</f>
        <v>https://climate.onebuilding.org/WMO_Region_4_North_and_Central_America/USA_United_States_of_America/NC_North_Carolina/USA_NC_Asheville.Rgnl.AP.723150_US.Normals.2006-2020.zip</v>
      </c>
    </row>
    <row r="1101" spans="1:10" x14ac:dyDescent="0.25">
      <c r="A1101" t="s">
        <v>35</v>
      </c>
      <c r="B1101" t="s">
        <v>698</v>
      </c>
      <c r="C1101" t="s">
        <v>700</v>
      </c>
      <c r="D1101" s="2">
        <v>723037</v>
      </c>
      <c r="E1101" t="s">
        <v>13</v>
      </c>
      <c r="F1101">
        <v>34.733600000000003</v>
      </c>
      <c r="G1101">
        <v>-76.660600000000002</v>
      </c>
      <c r="H1101">
        <v>-5</v>
      </c>
      <c r="I1101">
        <v>3.4</v>
      </c>
      <c r="J1101" t="str">
        <f>HYPERLINK("https://climate.onebuilding.org/WMO_Region_4_North_and_Central_America/USA_United_States_of_America/NC_North_Carolina/USA_NC_Beaufort-Smith.Field.AP.723037_US.Normals.2006-2020.zip")</f>
        <v>https://climate.onebuilding.org/WMO_Region_4_North_and_Central_America/USA_United_States_of_America/NC_North_Carolina/USA_NC_Beaufort-Smith.Field.AP.723037_US.Normals.2006-2020.zip</v>
      </c>
    </row>
    <row r="1102" spans="1:10" x14ac:dyDescent="0.25">
      <c r="A1102" t="s">
        <v>35</v>
      </c>
      <c r="B1102" t="s">
        <v>698</v>
      </c>
      <c r="C1102" t="s">
        <v>701</v>
      </c>
      <c r="D1102" s="2">
        <v>746960</v>
      </c>
      <c r="E1102" t="s">
        <v>13</v>
      </c>
      <c r="F1102">
        <v>35.494399999999999</v>
      </c>
      <c r="G1102">
        <v>-82.614199999999997</v>
      </c>
      <c r="H1102">
        <v>-6</v>
      </c>
      <c r="I1102">
        <v>655.6</v>
      </c>
      <c r="J1102" t="str">
        <f>HYPERLINK("https://climate.onebuilding.org/WMO_Region_4_North_and_Central_America/USA_United_States_of_America/NC_North_Carolina/USA_NC_Bent.Creek-North.Carolina.Arboretum.746960_US.Normals.2006-2020.zip")</f>
        <v>https://climate.onebuilding.org/WMO_Region_4_North_and_Central_America/USA_United_States_of_America/NC_North_Carolina/USA_NC_Bent.Creek-North.Carolina.Arboretum.746960_US.Normals.2006-2020.zip</v>
      </c>
    </row>
    <row r="1103" spans="1:10" x14ac:dyDescent="0.25">
      <c r="A1103" t="s">
        <v>35</v>
      </c>
      <c r="B1103" t="s">
        <v>698</v>
      </c>
      <c r="C1103" t="s">
        <v>702</v>
      </c>
      <c r="D1103" s="2">
        <v>723174</v>
      </c>
      <c r="E1103" t="s">
        <v>13</v>
      </c>
      <c r="F1103">
        <v>36.046700000000001</v>
      </c>
      <c r="G1103">
        <v>-79.476900000000001</v>
      </c>
      <c r="H1103">
        <v>-5</v>
      </c>
      <c r="I1103">
        <v>188.1</v>
      </c>
      <c r="J1103" t="str">
        <f>HYPERLINK("https://climate.onebuilding.org/WMO_Region_4_North_and_Central_America/USA_United_States_of_America/NC_North_Carolina/USA_NC_Burlington.Alamance.Rgnl.AP.723174_US.Normals.2006-2020.zip")</f>
        <v>https://climate.onebuilding.org/WMO_Region_4_North_and_Central_America/USA_United_States_of_America/NC_North_Carolina/USA_NC_Burlington.Alamance.Rgnl.AP.723174_US.Normals.2006-2020.zip</v>
      </c>
    </row>
    <row r="1104" spans="1:10" x14ac:dyDescent="0.25">
      <c r="A1104" t="s">
        <v>35</v>
      </c>
      <c r="B1104" t="s">
        <v>698</v>
      </c>
      <c r="C1104" t="s">
        <v>703</v>
      </c>
      <c r="D1104" s="2">
        <v>723040</v>
      </c>
      <c r="E1104" t="s">
        <v>13</v>
      </c>
      <c r="F1104">
        <v>35.232500000000002</v>
      </c>
      <c r="G1104">
        <v>-75.621899999999997</v>
      </c>
      <c r="H1104">
        <v>-5</v>
      </c>
      <c r="I1104">
        <v>3.4</v>
      </c>
      <c r="J1104" t="str">
        <f>HYPERLINK("https://climate.onebuilding.org/WMO_Region_4_North_and_Central_America/USA_United_States_of_America/NC_North_Carolina/USA_NC_Cape.Hatteras.Natl.Seashore-Mitchell.AP.723040_US.Normals.1981-2010.zip")</f>
        <v>https://climate.onebuilding.org/WMO_Region_4_North_and_Central_America/USA_United_States_of_America/NC_North_Carolina/USA_NC_Cape.Hatteras.Natl.Seashore-Mitchell.AP.723040_US.Normals.1981-2010.zip</v>
      </c>
    </row>
    <row r="1105" spans="1:10" x14ac:dyDescent="0.25">
      <c r="A1105" t="s">
        <v>35</v>
      </c>
      <c r="B1105" t="s">
        <v>698</v>
      </c>
      <c r="C1105" t="s">
        <v>703</v>
      </c>
      <c r="D1105" s="2">
        <v>723040</v>
      </c>
      <c r="E1105" t="s">
        <v>13</v>
      </c>
      <c r="F1105">
        <v>35.232500000000002</v>
      </c>
      <c r="G1105">
        <v>-75.621899999999997</v>
      </c>
      <c r="H1105">
        <v>-5</v>
      </c>
      <c r="I1105">
        <v>3.4</v>
      </c>
      <c r="J1105" t="str">
        <f>HYPERLINK("https://climate.onebuilding.org/WMO_Region_4_North_and_Central_America/USA_United_States_of_America/NC_North_Carolina/USA_NC_Cape.Hatteras.Natl.Seashore-Mitchell.AP.723040_US.Normals.1991-2020.zip")</f>
        <v>https://climate.onebuilding.org/WMO_Region_4_North_and_Central_America/USA_United_States_of_America/NC_North_Carolina/USA_NC_Cape.Hatteras.Natl.Seashore-Mitchell.AP.723040_US.Normals.1991-2020.zip</v>
      </c>
    </row>
    <row r="1106" spans="1:10" x14ac:dyDescent="0.25">
      <c r="A1106" t="s">
        <v>35</v>
      </c>
      <c r="B1106" t="s">
        <v>698</v>
      </c>
      <c r="C1106" t="s">
        <v>703</v>
      </c>
      <c r="D1106" s="2">
        <v>723040</v>
      </c>
      <c r="E1106" t="s">
        <v>13</v>
      </c>
      <c r="F1106">
        <v>35.232500000000002</v>
      </c>
      <c r="G1106">
        <v>-75.621899999999997</v>
      </c>
      <c r="H1106">
        <v>-5</v>
      </c>
      <c r="I1106">
        <v>3.4</v>
      </c>
      <c r="J1106" t="str">
        <f>HYPERLINK("https://climate.onebuilding.org/WMO_Region_4_North_and_Central_America/USA_United_States_of_America/NC_North_Carolina/USA_NC_Cape.Hatteras.Natl.Seashore-Mitchell.AP.723040_US.Normals.2006-2020.zip")</f>
        <v>https://climate.onebuilding.org/WMO_Region_4_North_and_Central_America/USA_United_States_of_America/NC_North_Carolina/USA_NC_Cape.Hatteras.Natl.Seashore-Mitchell.AP.723040_US.Normals.2006-2020.zip</v>
      </c>
    </row>
    <row r="1107" spans="1:10" x14ac:dyDescent="0.25">
      <c r="A1107" t="s">
        <v>35</v>
      </c>
      <c r="B1107" t="s">
        <v>698</v>
      </c>
      <c r="C1107" t="s">
        <v>704</v>
      </c>
      <c r="D1107" s="2">
        <v>723194</v>
      </c>
      <c r="E1107" t="s">
        <v>13</v>
      </c>
      <c r="F1107">
        <v>35.0169</v>
      </c>
      <c r="G1107">
        <v>-80.620599999999996</v>
      </c>
      <c r="H1107">
        <v>-5</v>
      </c>
      <c r="I1107">
        <v>207</v>
      </c>
      <c r="J1107" t="str">
        <f>HYPERLINK("https://climate.onebuilding.org/WMO_Region_4_North_and_Central_America/USA_United_States_of_America/NC_North_Carolina/USA_NC_Charlotte-Monroe.Exec.AP.723194_US.Normals.2006-2020.zip")</f>
        <v>https://climate.onebuilding.org/WMO_Region_4_North_and_Central_America/USA_United_States_of_America/NC_North_Carolina/USA_NC_Charlotte-Monroe.Exec.AP.723194_US.Normals.2006-2020.zip</v>
      </c>
    </row>
    <row r="1108" spans="1:10" x14ac:dyDescent="0.25">
      <c r="A1108" t="s">
        <v>35</v>
      </c>
      <c r="B1108" t="s">
        <v>698</v>
      </c>
      <c r="C1108" t="s">
        <v>705</v>
      </c>
      <c r="D1108" s="2">
        <v>723140</v>
      </c>
      <c r="E1108" t="s">
        <v>13</v>
      </c>
      <c r="F1108">
        <v>35.223599999999998</v>
      </c>
      <c r="G1108">
        <v>-80.955299999999994</v>
      </c>
      <c r="H1108">
        <v>-5</v>
      </c>
      <c r="I1108">
        <v>221.9</v>
      </c>
      <c r="J1108" t="str">
        <f>HYPERLINK("https://climate.onebuilding.org/WMO_Region_4_North_and_Central_America/USA_United_States_of_America/NC_North_Carolina/USA_NC_Charlotte.Douglas.Intl.AP.723140_US.Normals.1981-2010.zip")</f>
        <v>https://climate.onebuilding.org/WMO_Region_4_North_and_Central_America/USA_United_States_of_America/NC_North_Carolina/USA_NC_Charlotte.Douglas.Intl.AP.723140_US.Normals.1981-2010.zip</v>
      </c>
    </row>
    <row r="1109" spans="1:10" x14ac:dyDescent="0.25">
      <c r="A1109" t="s">
        <v>35</v>
      </c>
      <c r="B1109" t="s">
        <v>698</v>
      </c>
      <c r="C1109" t="s">
        <v>705</v>
      </c>
      <c r="D1109" s="2">
        <v>723140</v>
      </c>
      <c r="E1109" t="s">
        <v>13</v>
      </c>
      <c r="F1109">
        <v>35.223599999999998</v>
      </c>
      <c r="G1109">
        <v>-80.955299999999994</v>
      </c>
      <c r="H1109">
        <v>-5</v>
      </c>
      <c r="I1109">
        <v>221.9</v>
      </c>
      <c r="J1109" t="str">
        <f>HYPERLINK("https://climate.onebuilding.org/WMO_Region_4_North_and_Central_America/USA_United_States_of_America/NC_North_Carolina/USA_NC_Charlotte.Douglas.Intl.AP.723140_US.Normals.1991-2020.zip")</f>
        <v>https://climate.onebuilding.org/WMO_Region_4_North_and_Central_America/USA_United_States_of_America/NC_North_Carolina/USA_NC_Charlotte.Douglas.Intl.AP.723140_US.Normals.1991-2020.zip</v>
      </c>
    </row>
    <row r="1110" spans="1:10" x14ac:dyDescent="0.25">
      <c r="A1110" t="s">
        <v>35</v>
      </c>
      <c r="B1110" t="s">
        <v>698</v>
      </c>
      <c r="C1110" t="s">
        <v>705</v>
      </c>
      <c r="D1110" s="2">
        <v>723140</v>
      </c>
      <c r="E1110" t="s">
        <v>13</v>
      </c>
      <c r="F1110">
        <v>35.223599999999998</v>
      </c>
      <c r="G1110">
        <v>-80.955299999999994</v>
      </c>
      <c r="H1110">
        <v>-5</v>
      </c>
      <c r="I1110">
        <v>221.9</v>
      </c>
      <c r="J1110" t="str">
        <f>HYPERLINK("https://climate.onebuilding.org/WMO_Region_4_North_and_Central_America/USA_United_States_of_America/NC_North_Carolina/USA_NC_Charlotte.Douglas.Intl.AP.723140_US.Normals.2006-2020.zip")</f>
        <v>https://climate.onebuilding.org/WMO_Region_4_North_and_Central_America/USA_United_States_of_America/NC_North_Carolina/USA_NC_Charlotte.Douglas.Intl.AP.723140_US.Normals.2006-2020.zip</v>
      </c>
    </row>
    <row r="1111" spans="1:10" x14ac:dyDescent="0.25">
      <c r="A1111" t="s">
        <v>35</v>
      </c>
      <c r="B1111" t="s">
        <v>698</v>
      </c>
      <c r="C1111" t="s">
        <v>706</v>
      </c>
      <c r="D1111" s="2">
        <v>756940</v>
      </c>
      <c r="E1111" t="s">
        <v>13</v>
      </c>
      <c r="F1111">
        <v>35.970599999999997</v>
      </c>
      <c r="G1111">
        <v>-79.093100000000007</v>
      </c>
      <c r="H1111">
        <v>-5</v>
      </c>
      <c r="I1111">
        <v>171.3</v>
      </c>
      <c r="J1111" t="str">
        <f>HYPERLINK("https://climate.onebuilding.org/WMO_Region_4_North_and_Central_America/USA_United_States_of_America/NC_North_Carolina/USA_NC_Durham.11.W.756940_US.Normals.2006-2020.zip")</f>
        <v>https://climate.onebuilding.org/WMO_Region_4_North_and_Central_America/USA_United_States_of_America/NC_North_Carolina/USA_NC_Durham.11.W.756940_US.Normals.2006-2020.zip</v>
      </c>
    </row>
    <row r="1112" spans="1:10" x14ac:dyDescent="0.25">
      <c r="A1112" t="s">
        <v>35</v>
      </c>
      <c r="B1112" t="s">
        <v>698</v>
      </c>
      <c r="C1112" t="s">
        <v>707</v>
      </c>
      <c r="D1112" s="2">
        <v>723070</v>
      </c>
      <c r="E1112" t="s">
        <v>13</v>
      </c>
      <c r="F1112">
        <v>36.260599999999997</v>
      </c>
      <c r="G1112">
        <v>-76.174999999999997</v>
      </c>
      <c r="H1112">
        <v>-5</v>
      </c>
      <c r="I1112">
        <v>4</v>
      </c>
      <c r="J1112" t="str">
        <f>HYPERLINK("https://climate.onebuilding.org/WMO_Region_4_North_and_Central_America/USA_United_States_of_America/NC_North_Carolina/USA_NC_Elizabeth.City.Rgnl.AP-CGAS.Elizabeth.City.723070_US.Normals.2006-2020.zip")</f>
        <v>https://climate.onebuilding.org/WMO_Region_4_North_and_Central_America/USA_United_States_of_America/NC_North_Carolina/USA_NC_Elizabeth.City.Rgnl.AP-CGAS.Elizabeth.City.723070_US.Normals.2006-2020.zip</v>
      </c>
    </row>
    <row r="1113" spans="1:10" x14ac:dyDescent="0.25">
      <c r="A1113" t="s">
        <v>35</v>
      </c>
      <c r="B1113" t="s">
        <v>698</v>
      </c>
      <c r="C1113" t="s">
        <v>708</v>
      </c>
      <c r="D1113" s="2">
        <v>723030</v>
      </c>
      <c r="E1113" t="s">
        <v>13</v>
      </c>
      <c r="F1113">
        <v>35.173900000000003</v>
      </c>
      <c r="G1113">
        <v>-79.008899999999997</v>
      </c>
      <c r="H1113">
        <v>-5</v>
      </c>
      <c r="I1113">
        <v>66.400000000000006</v>
      </c>
      <c r="J1113" t="str">
        <f>HYPERLINK("https://climate.onebuilding.org/WMO_Region_4_North_and_Central_America/USA_United_States_of_America/NC_North_Carolina/USA_NC_Fayetteville-Fort.Bragg-Pope.Field.723030_US.Normals.1981-2010.zip")</f>
        <v>https://climate.onebuilding.org/WMO_Region_4_North_and_Central_America/USA_United_States_of_America/NC_North_Carolina/USA_NC_Fayetteville-Fort.Bragg-Pope.Field.723030_US.Normals.1981-2010.zip</v>
      </c>
    </row>
    <row r="1114" spans="1:10" x14ac:dyDescent="0.25">
      <c r="A1114" t="s">
        <v>35</v>
      </c>
      <c r="B1114" t="s">
        <v>698</v>
      </c>
      <c r="C1114" t="s">
        <v>708</v>
      </c>
      <c r="D1114" s="2">
        <v>723030</v>
      </c>
      <c r="E1114" t="s">
        <v>13</v>
      </c>
      <c r="F1114">
        <v>35.173900000000003</v>
      </c>
      <c r="G1114">
        <v>-79.008899999999997</v>
      </c>
      <c r="H1114">
        <v>-5</v>
      </c>
      <c r="I1114">
        <v>66.400000000000006</v>
      </c>
      <c r="J1114" t="str">
        <f>HYPERLINK("https://climate.onebuilding.org/WMO_Region_4_North_and_Central_America/USA_United_States_of_America/NC_North_Carolina/USA_NC_Fayetteville-Fort.Bragg-Pope.Field.723030_US.Normals.1991-2020.zip")</f>
        <v>https://climate.onebuilding.org/WMO_Region_4_North_and_Central_America/USA_United_States_of_America/NC_North_Carolina/USA_NC_Fayetteville-Fort.Bragg-Pope.Field.723030_US.Normals.1991-2020.zip</v>
      </c>
    </row>
    <row r="1115" spans="1:10" x14ac:dyDescent="0.25">
      <c r="A1115" t="s">
        <v>35</v>
      </c>
      <c r="B1115" t="s">
        <v>698</v>
      </c>
      <c r="C1115" t="s">
        <v>708</v>
      </c>
      <c r="D1115" s="2">
        <v>723030</v>
      </c>
      <c r="E1115" t="s">
        <v>13</v>
      </c>
      <c r="F1115">
        <v>35.173900000000003</v>
      </c>
      <c r="G1115">
        <v>-79.008899999999997</v>
      </c>
      <c r="H1115">
        <v>-5</v>
      </c>
      <c r="I1115">
        <v>66.400000000000006</v>
      </c>
      <c r="J1115" t="str">
        <f>HYPERLINK("https://climate.onebuilding.org/WMO_Region_4_North_and_Central_America/USA_United_States_of_America/NC_North_Carolina/USA_NC_Fayetteville-Fort.Bragg-Pope.Field.723030_US.Normals.2006-2020.zip")</f>
        <v>https://climate.onebuilding.org/WMO_Region_4_North_and_Central_America/USA_United_States_of_America/NC_North_Carolina/USA_NC_Fayetteville-Fort.Bragg-Pope.Field.723030_US.Normals.2006-2020.zip</v>
      </c>
    </row>
    <row r="1116" spans="1:10" x14ac:dyDescent="0.25">
      <c r="A1116" t="s">
        <v>35</v>
      </c>
      <c r="B1116" t="s">
        <v>698</v>
      </c>
      <c r="C1116" t="s">
        <v>709</v>
      </c>
      <c r="D1116" s="2">
        <v>746930</v>
      </c>
      <c r="E1116" t="s">
        <v>13</v>
      </c>
      <c r="F1116">
        <v>35.133299999999998</v>
      </c>
      <c r="G1116">
        <v>-78.933300000000003</v>
      </c>
      <c r="H1116">
        <v>-5</v>
      </c>
      <c r="I1116">
        <v>93</v>
      </c>
      <c r="J1116" t="str">
        <f>HYPERLINK("https://climate.onebuilding.org/WMO_Region_4_North_and_Central_America/USA_United_States_of_America/NC_North_Carolina/USA_NC_Fayetteville-Ft.Bragg-Simmons.AAF.746930_US.Normals.1981-2010.zip")</f>
        <v>https://climate.onebuilding.org/WMO_Region_4_North_and_Central_America/USA_United_States_of_America/NC_North_Carolina/USA_NC_Fayetteville-Ft.Bragg-Simmons.AAF.746930_US.Normals.1981-2010.zip</v>
      </c>
    </row>
    <row r="1117" spans="1:10" x14ac:dyDescent="0.25">
      <c r="A1117" t="s">
        <v>35</v>
      </c>
      <c r="B1117" t="s">
        <v>698</v>
      </c>
      <c r="C1117" t="s">
        <v>709</v>
      </c>
      <c r="D1117" s="2">
        <v>746930</v>
      </c>
      <c r="E1117" t="s">
        <v>13</v>
      </c>
      <c r="F1117">
        <v>35.133299999999998</v>
      </c>
      <c r="G1117">
        <v>-78.933300000000003</v>
      </c>
      <c r="H1117">
        <v>-5</v>
      </c>
      <c r="I1117">
        <v>93</v>
      </c>
      <c r="J1117" t="str">
        <f>HYPERLINK("https://climate.onebuilding.org/WMO_Region_4_North_and_Central_America/USA_United_States_of_America/NC_North_Carolina/USA_NC_Fayetteville-Ft.Bragg-Simmons.AAF.746930_US.Normals.1991-2020.zip")</f>
        <v>https://climate.onebuilding.org/WMO_Region_4_North_and_Central_America/USA_United_States_of_America/NC_North_Carolina/USA_NC_Fayetteville-Ft.Bragg-Simmons.AAF.746930_US.Normals.1991-2020.zip</v>
      </c>
    </row>
    <row r="1118" spans="1:10" x14ac:dyDescent="0.25">
      <c r="A1118" t="s">
        <v>35</v>
      </c>
      <c r="B1118" t="s">
        <v>698</v>
      </c>
      <c r="C1118" t="s">
        <v>709</v>
      </c>
      <c r="D1118" s="2">
        <v>746930</v>
      </c>
      <c r="E1118" t="s">
        <v>13</v>
      </c>
      <c r="F1118">
        <v>35.133299999999998</v>
      </c>
      <c r="G1118">
        <v>-78.933300000000003</v>
      </c>
      <c r="H1118">
        <v>-5</v>
      </c>
      <c r="I1118">
        <v>93</v>
      </c>
      <c r="J1118" t="str">
        <f>HYPERLINK("https://climate.onebuilding.org/WMO_Region_4_North_and_Central_America/USA_United_States_of_America/NC_North_Carolina/USA_NC_Fayetteville-Ft.Bragg-Simmons.AAF.746930_US.Normals.2006-2020.zip")</f>
        <v>https://climate.onebuilding.org/WMO_Region_4_North_and_Central_America/USA_United_States_of_America/NC_North_Carolina/USA_NC_Fayetteville-Ft.Bragg-Simmons.AAF.746930_US.Normals.2006-2020.zip</v>
      </c>
    </row>
    <row r="1119" spans="1:10" x14ac:dyDescent="0.25">
      <c r="A1119" t="s">
        <v>35</v>
      </c>
      <c r="B1119" t="s">
        <v>698</v>
      </c>
      <c r="C1119" t="s">
        <v>710</v>
      </c>
      <c r="D1119" s="2">
        <v>723035</v>
      </c>
      <c r="E1119" t="s">
        <v>13</v>
      </c>
      <c r="F1119">
        <v>34.991399999999999</v>
      </c>
      <c r="G1119">
        <v>-78.880300000000005</v>
      </c>
      <c r="H1119">
        <v>-5</v>
      </c>
      <c r="I1119">
        <v>56.7</v>
      </c>
      <c r="J1119" t="str">
        <f>HYPERLINK("https://climate.onebuilding.org/WMO_Region_4_North_and_Central_America/USA_United_States_of_America/NC_North_Carolina/USA_NC_Fayetteville.Rgnl.AP-Grannis.Field.723035_US.Normals.1991-2020.zip")</f>
        <v>https://climate.onebuilding.org/WMO_Region_4_North_and_Central_America/USA_United_States_of_America/NC_North_Carolina/USA_NC_Fayetteville.Rgnl.AP-Grannis.Field.723035_US.Normals.1991-2020.zip</v>
      </c>
    </row>
    <row r="1120" spans="1:10" x14ac:dyDescent="0.25">
      <c r="A1120" t="s">
        <v>35</v>
      </c>
      <c r="B1120" t="s">
        <v>698</v>
      </c>
      <c r="C1120" t="s">
        <v>710</v>
      </c>
      <c r="D1120" s="2">
        <v>723035</v>
      </c>
      <c r="E1120" t="s">
        <v>13</v>
      </c>
      <c r="F1120">
        <v>34.991399999999999</v>
      </c>
      <c r="G1120">
        <v>-78.880300000000005</v>
      </c>
      <c r="H1120">
        <v>-5</v>
      </c>
      <c r="I1120">
        <v>56.7</v>
      </c>
      <c r="J1120" t="str">
        <f>HYPERLINK("https://climate.onebuilding.org/WMO_Region_4_North_and_Central_America/USA_United_States_of_America/NC_North_Carolina/USA_NC_Fayetteville.Rgnl.AP-Grannis.Field.723035_US.Normals.2006-2020.zip")</f>
        <v>https://climate.onebuilding.org/WMO_Region_4_North_and_Central_America/USA_United_States_of_America/NC_North_Carolina/USA_NC_Fayetteville.Rgnl.AP-Grannis.Field.723035_US.Normals.2006-2020.zip</v>
      </c>
    </row>
    <row r="1121" spans="1:10" x14ac:dyDescent="0.25">
      <c r="A1121" t="s">
        <v>35</v>
      </c>
      <c r="B1121" t="s">
        <v>698</v>
      </c>
      <c r="C1121" t="s">
        <v>711</v>
      </c>
      <c r="D1121" s="2">
        <v>723147</v>
      </c>
      <c r="E1121" t="s">
        <v>13</v>
      </c>
      <c r="F1121">
        <v>35.1967</v>
      </c>
      <c r="G1121">
        <v>-81.155799999999999</v>
      </c>
      <c r="H1121">
        <v>-5</v>
      </c>
      <c r="I1121">
        <v>242.9</v>
      </c>
      <c r="J1121" t="str">
        <f>HYPERLINK("https://climate.onebuilding.org/WMO_Region_4_North_and_Central_America/USA_United_States_of_America/NC_North_Carolina/USA_NC_Gastonia.Muni.AP.723147_US.Normals.2006-2020.zip")</f>
        <v>https://climate.onebuilding.org/WMO_Region_4_North_and_Central_America/USA_United_States_of_America/NC_North_Carolina/USA_NC_Gastonia.Muni.AP.723147_US.Normals.2006-2020.zip</v>
      </c>
    </row>
    <row r="1122" spans="1:10" x14ac:dyDescent="0.25">
      <c r="A1122" t="s">
        <v>35</v>
      </c>
      <c r="B1122" t="s">
        <v>698</v>
      </c>
      <c r="C1122" t="s">
        <v>712</v>
      </c>
      <c r="D1122" s="2">
        <v>723066</v>
      </c>
      <c r="E1122" t="s">
        <v>13</v>
      </c>
      <c r="F1122">
        <v>35.3444</v>
      </c>
      <c r="G1122">
        <v>-77.964699999999993</v>
      </c>
      <c r="H1122">
        <v>-5</v>
      </c>
      <c r="I1122">
        <v>33.200000000000003</v>
      </c>
      <c r="J1122" t="str">
        <f>HYPERLINK("https://climate.onebuilding.org/WMO_Region_4_North_and_Central_America/USA_United_States_of_America/NC_North_Carolina/USA_NC_Goldsboro-Seymour.Johnson.AFB.723066_US.Normals.1981-2010.zip")</f>
        <v>https://climate.onebuilding.org/WMO_Region_4_North_and_Central_America/USA_United_States_of_America/NC_North_Carolina/USA_NC_Goldsboro-Seymour.Johnson.AFB.723066_US.Normals.1981-2010.zip</v>
      </c>
    </row>
    <row r="1123" spans="1:10" x14ac:dyDescent="0.25">
      <c r="A1123" t="s">
        <v>35</v>
      </c>
      <c r="B1123" t="s">
        <v>698</v>
      </c>
      <c r="C1123" t="s">
        <v>712</v>
      </c>
      <c r="D1123" s="2">
        <v>723066</v>
      </c>
      <c r="E1123" t="s">
        <v>13</v>
      </c>
      <c r="F1123">
        <v>35.3444</v>
      </c>
      <c r="G1123">
        <v>-77.964699999999993</v>
      </c>
      <c r="H1123">
        <v>-5</v>
      </c>
      <c r="I1123">
        <v>33.200000000000003</v>
      </c>
      <c r="J1123" t="str">
        <f>HYPERLINK("https://climate.onebuilding.org/WMO_Region_4_North_and_Central_America/USA_United_States_of_America/NC_North_Carolina/USA_NC_Goldsboro-Seymour.Johnson.AFB.723066_US.Normals.1991-2020.zip")</f>
        <v>https://climate.onebuilding.org/WMO_Region_4_North_and_Central_America/USA_United_States_of_America/NC_North_Carolina/USA_NC_Goldsboro-Seymour.Johnson.AFB.723066_US.Normals.1991-2020.zip</v>
      </c>
    </row>
    <row r="1124" spans="1:10" x14ac:dyDescent="0.25">
      <c r="A1124" t="s">
        <v>35</v>
      </c>
      <c r="B1124" t="s">
        <v>698</v>
      </c>
      <c r="C1124" t="s">
        <v>712</v>
      </c>
      <c r="D1124" s="2">
        <v>723066</v>
      </c>
      <c r="E1124" t="s">
        <v>13</v>
      </c>
      <c r="F1124">
        <v>35.3444</v>
      </c>
      <c r="G1124">
        <v>-77.964699999999993</v>
      </c>
      <c r="H1124">
        <v>-5</v>
      </c>
      <c r="I1124">
        <v>33.200000000000003</v>
      </c>
      <c r="J1124" t="str">
        <f>HYPERLINK("https://climate.onebuilding.org/WMO_Region_4_North_and_Central_America/USA_United_States_of_America/NC_North_Carolina/USA_NC_Goldsboro-Seymour.Johnson.AFB.723066_US.Normals.2006-2020.zip")</f>
        <v>https://climate.onebuilding.org/WMO_Region_4_North_and_Central_America/USA_United_States_of_America/NC_North_Carolina/USA_NC_Goldsboro-Seymour.Johnson.AFB.723066_US.Normals.2006-2020.zip</v>
      </c>
    </row>
    <row r="1125" spans="1:10" x14ac:dyDescent="0.25">
      <c r="A1125" t="s">
        <v>35</v>
      </c>
      <c r="B1125" t="s">
        <v>698</v>
      </c>
      <c r="C1125" t="s">
        <v>713</v>
      </c>
      <c r="D1125" s="2">
        <v>723170</v>
      </c>
      <c r="E1125" t="s">
        <v>13</v>
      </c>
      <c r="F1125">
        <v>36.096899999999998</v>
      </c>
      <c r="G1125">
        <v>-79.943299999999994</v>
      </c>
      <c r="H1125">
        <v>-5</v>
      </c>
      <c r="I1125">
        <v>271.3</v>
      </c>
      <c r="J1125" t="str">
        <f>HYPERLINK("https://climate.onebuilding.org/WMO_Region_4_North_and_Central_America/USA_United_States_of_America/NC_North_Carolina/USA_NC_Greensboro-Piedmont.Triad.Intl.AP.723170_US.Normals.1981-2010.zip")</f>
        <v>https://climate.onebuilding.org/WMO_Region_4_North_and_Central_America/USA_United_States_of_America/NC_North_Carolina/USA_NC_Greensboro-Piedmont.Triad.Intl.AP.723170_US.Normals.1981-2010.zip</v>
      </c>
    </row>
    <row r="1126" spans="1:10" x14ac:dyDescent="0.25">
      <c r="A1126" t="s">
        <v>35</v>
      </c>
      <c r="B1126" t="s">
        <v>698</v>
      </c>
      <c r="C1126" t="s">
        <v>713</v>
      </c>
      <c r="D1126" s="2">
        <v>723170</v>
      </c>
      <c r="E1126" t="s">
        <v>13</v>
      </c>
      <c r="F1126">
        <v>36.096899999999998</v>
      </c>
      <c r="G1126">
        <v>-79.943299999999994</v>
      </c>
      <c r="H1126">
        <v>-5</v>
      </c>
      <c r="I1126">
        <v>271.3</v>
      </c>
      <c r="J1126" t="str">
        <f>HYPERLINK("https://climate.onebuilding.org/WMO_Region_4_North_and_Central_America/USA_United_States_of_America/NC_North_Carolina/USA_NC_Greensboro-Piedmont.Triad.Intl.AP.723170_US.Normals.1991-2020.zip")</f>
        <v>https://climate.onebuilding.org/WMO_Region_4_North_and_Central_America/USA_United_States_of_America/NC_North_Carolina/USA_NC_Greensboro-Piedmont.Triad.Intl.AP.723170_US.Normals.1991-2020.zip</v>
      </c>
    </row>
    <row r="1127" spans="1:10" x14ac:dyDescent="0.25">
      <c r="A1127" t="s">
        <v>35</v>
      </c>
      <c r="B1127" t="s">
        <v>698</v>
      </c>
      <c r="C1127" t="s">
        <v>713</v>
      </c>
      <c r="D1127" s="2">
        <v>723170</v>
      </c>
      <c r="E1127" t="s">
        <v>13</v>
      </c>
      <c r="F1127">
        <v>36.096899999999998</v>
      </c>
      <c r="G1127">
        <v>-79.943299999999994</v>
      </c>
      <c r="H1127">
        <v>-5</v>
      </c>
      <c r="I1127">
        <v>271.3</v>
      </c>
      <c r="J1127" t="str">
        <f>HYPERLINK("https://climate.onebuilding.org/WMO_Region_4_North_and_Central_America/USA_United_States_of_America/NC_North_Carolina/USA_NC_Greensboro-Piedmont.Triad.Intl.AP.723170_US.Normals.2006-2020.zip")</f>
        <v>https://climate.onebuilding.org/WMO_Region_4_North_and_Central_America/USA_United_States_of_America/NC_North_Carolina/USA_NC_Greensboro-Piedmont.Triad.Intl.AP.723170_US.Normals.2006-2020.zip</v>
      </c>
    </row>
    <row r="1128" spans="1:10" x14ac:dyDescent="0.25">
      <c r="A1128" t="s">
        <v>35</v>
      </c>
      <c r="B1128" t="s">
        <v>698</v>
      </c>
      <c r="C1128" t="s">
        <v>714</v>
      </c>
      <c r="D1128" s="2">
        <v>723090</v>
      </c>
      <c r="E1128" t="s">
        <v>13</v>
      </c>
      <c r="F1128">
        <v>34.9</v>
      </c>
      <c r="G1128">
        <v>-76.883300000000006</v>
      </c>
      <c r="H1128">
        <v>-5</v>
      </c>
      <c r="I1128">
        <v>8.8000000000000007</v>
      </c>
      <c r="J1128" t="str">
        <f>HYPERLINK("https://climate.onebuilding.org/WMO_Region_4_North_and_Central_America/USA_United_States_of_America/NC_North_Carolina/USA_NC_Havelock-MCAS.Cherry.Point-Cunningham.Field.723090_US.Normals.1981-2010.zip")</f>
        <v>https://climate.onebuilding.org/WMO_Region_4_North_and_Central_America/USA_United_States_of_America/NC_North_Carolina/USA_NC_Havelock-MCAS.Cherry.Point-Cunningham.Field.723090_US.Normals.1981-2010.zip</v>
      </c>
    </row>
    <row r="1129" spans="1:10" x14ac:dyDescent="0.25">
      <c r="A1129" t="s">
        <v>35</v>
      </c>
      <c r="B1129" t="s">
        <v>698</v>
      </c>
      <c r="C1129" t="s">
        <v>714</v>
      </c>
      <c r="D1129" s="2">
        <v>723090</v>
      </c>
      <c r="E1129" t="s">
        <v>13</v>
      </c>
      <c r="F1129">
        <v>34.9</v>
      </c>
      <c r="G1129">
        <v>-76.883300000000006</v>
      </c>
      <c r="H1129">
        <v>-5</v>
      </c>
      <c r="I1129">
        <v>8.8000000000000007</v>
      </c>
      <c r="J1129" t="str">
        <f>HYPERLINK("https://climate.onebuilding.org/WMO_Region_4_North_and_Central_America/USA_United_States_of_America/NC_North_Carolina/USA_NC_Havelock-MCAS.Cherry.Point-Cunningham.Field.723090_US.Normals.1991-2020.zip")</f>
        <v>https://climate.onebuilding.org/WMO_Region_4_North_and_Central_America/USA_United_States_of_America/NC_North_Carolina/USA_NC_Havelock-MCAS.Cherry.Point-Cunningham.Field.723090_US.Normals.1991-2020.zip</v>
      </c>
    </row>
    <row r="1130" spans="1:10" x14ac:dyDescent="0.25">
      <c r="A1130" t="s">
        <v>35</v>
      </c>
      <c r="B1130" t="s">
        <v>698</v>
      </c>
      <c r="C1130" t="s">
        <v>714</v>
      </c>
      <c r="D1130" s="2">
        <v>723090</v>
      </c>
      <c r="E1130" t="s">
        <v>13</v>
      </c>
      <c r="F1130">
        <v>34.9</v>
      </c>
      <c r="G1130">
        <v>-76.883300000000006</v>
      </c>
      <c r="H1130">
        <v>-5</v>
      </c>
      <c r="I1130">
        <v>8.8000000000000007</v>
      </c>
      <c r="J1130" t="str">
        <f>HYPERLINK("https://climate.onebuilding.org/WMO_Region_4_North_and_Central_America/USA_United_States_of_America/NC_North_Carolina/USA_NC_Havelock-MCAS.Cherry.Point-Cunningham.Field.723090_US.Normals.2006-2020.zip")</f>
        <v>https://climate.onebuilding.org/WMO_Region_4_North_and_Central_America/USA_United_States_of_America/NC_North_Carolina/USA_NC_Havelock-MCAS.Cherry.Point-Cunningham.Field.723090_US.Normals.2006-2020.zip</v>
      </c>
    </row>
    <row r="1131" spans="1:10" x14ac:dyDescent="0.25">
      <c r="A1131" t="s">
        <v>35</v>
      </c>
      <c r="B1131" t="s">
        <v>698</v>
      </c>
      <c r="C1131" t="s">
        <v>715</v>
      </c>
      <c r="D1131" s="2">
        <v>723010</v>
      </c>
      <c r="E1131" t="s">
        <v>13</v>
      </c>
      <c r="F1131">
        <v>35.7425</v>
      </c>
      <c r="G1131">
        <v>-81.381900000000002</v>
      </c>
      <c r="H1131">
        <v>-5</v>
      </c>
      <c r="I1131">
        <v>348.4</v>
      </c>
      <c r="J1131" t="str">
        <f>HYPERLINK("https://climate.onebuilding.org/WMO_Region_4_North_and_Central_America/USA_United_States_of_America/NC_North_Carolina/USA_NC_Hickory.Rgnl.AP.723010_US.Normals.1981-2010.zip")</f>
        <v>https://climate.onebuilding.org/WMO_Region_4_North_and_Central_America/USA_United_States_of_America/NC_North_Carolina/USA_NC_Hickory.Rgnl.AP.723010_US.Normals.1981-2010.zip</v>
      </c>
    </row>
    <row r="1132" spans="1:10" x14ac:dyDescent="0.25">
      <c r="A1132" t="s">
        <v>35</v>
      </c>
      <c r="B1132" t="s">
        <v>698</v>
      </c>
      <c r="C1132" t="s">
        <v>715</v>
      </c>
      <c r="D1132" s="2">
        <v>723010</v>
      </c>
      <c r="E1132" t="s">
        <v>13</v>
      </c>
      <c r="F1132">
        <v>35.7425</v>
      </c>
      <c r="G1132">
        <v>-81.381900000000002</v>
      </c>
      <c r="H1132">
        <v>-5</v>
      </c>
      <c r="I1132">
        <v>348.4</v>
      </c>
      <c r="J1132" t="str">
        <f>HYPERLINK("https://climate.onebuilding.org/WMO_Region_4_North_and_Central_America/USA_United_States_of_America/NC_North_Carolina/USA_NC_Hickory.Rgnl.AP.723010_US.Normals.2006-2020.zip")</f>
        <v>https://climate.onebuilding.org/WMO_Region_4_North_and_Central_America/USA_United_States_of_America/NC_North_Carolina/USA_NC_Hickory.Rgnl.AP.723010_US.Normals.2006-2020.zip</v>
      </c>
    </row>
    <row r="1133" spans="1:10" x14ac:dyDescent="0.25">
      <c r="A1133" t="s">
        <v>35</v>
      </c>
      <c r="B1133" t="s">
        <v>698</v>
      </c>
      <c r="C1133" t="s">
        <v>716</v>
      </c>
      <c r="D1133" s="2">
        <v>723096</v>
      </c>
      <c r="E1133" t="s">
        <v>13</v>
      </c>
      <c r="F1133">
        <v>34.700000000000003</v>
      </c>
      <c r="G1133">
        <v>-77.383300000000006</v>
      </c>
      <c r="H1133">
        <v>-5</v>
      </c>
      <c r="I1133">
        <v>7.9</v>
      </c>
      <c r="J1133" t="str">
        <f>HYPERLINK("https://climate.onebuilding.org/WMO_Region_4_North_and_Central_America/USA_United_States_of_America/NC_North_Carolina/USA_NC_Jacksonville-MCAS.New.River-McCutcheon.Field.723096_US.Normals.1981-2010.zip")</f>
        <v>https://climate.onebuilding.org/WMO_Region_4_North_and_Central_America/USA_United_States_of_America/NC_North_Carolina/USA_NC_Jacksonville-MCAS.New.River-McCutcheon.Field.723096_US.Normals.1981-2010.zip</v>
      </c>
    </row>
    <row r="1134" spans="1:10" x14ac:dyDescent="0.25">
      <c r="A1134" t="s">
        <v>35</v>
      </c>
      <c r="B1134" t="s">
        <v>698</v>
      </c>
      <c r="C1134" t="s">
        <v>716</v>
      </c>
      <c r="D1134" s="2">
        <v>723096</v>
      </c>
      <c r="E1134" t="s">
        <v>13</v>
      </c>
      <c r="F1134">
        <v>34.700000000000003</v>
      </c>
      <c r="G1134">
        <v>-77.383300000000006</v>
      </c>
      <c r="H1134">
        <v>-5</v>
      </c>
      <c r="I1134">
        <v>7.9</v>
      </c>
      <c r="J1134" t="str">
        <f>HYPERLINK("https://climate.onebuilding.org/WMO_Region_4_North_and_Central_America/USA_United_States_of_America/NC_North_Carolina/USA_NC_Jacksonville-MCAS.New.River-McCutcheon.Field.723096_US.Normals.1991-2020.zip")</f>
        <v>https://climate.onebuilding.org/WMO_Region_4_North_and_Central_America/USA_United_States_of_America/NC_North_Carolina/USA_NC_Jacksonville-MCAS.New.River-McCutcheon.Field.723096_US.Normals.1991-2020.zip</v>
      </c>
    </row>
    <row r="1135" spans="1:10" x14ac:dyDescent="0.25">
      <c r="A1135" t="s">
        <v>35</v>
      </c>
      <c r="B1135" t="s">
        <v>698</v>
      </c>
      <c r="C1135" t="s">
        <v>716</v>
      </c>
      <c r="D1135" s="2">
        <v>723096</v>
      </c>
      <c r="E1135" t="s">
        <v>13</v>
      </c>
      <c r="F1135">
        <v>34.700000000000003</v>
      </c>
      <c r="G1135">
        <v>-77.383300000000006</v>
      </c>
      <c r="H1135">
        <v>-5</v>
      </c>
      <c r="I1135">
        <v>7.9</v>
      </c>
      <c r="J1135" t="str">
        <f>HYPERLINK("https://climate.onebuilding.org/WMO_Region_4_North_and_Central_America/USA_United_States_of_America/NC_North_Carolina/USA_NC_Jacksonville-MCAS.New.River-McCutcheon.Field.723096_US.Normals.2006-2020.zip")</f>
        <v>https://climate.onebuilding.org/WMO_Region_4_North_and_Central_America/USA_United_States_of_America/NC_North_Carolina/USA_NC_Jacksonville-MCAS.New.River-McCutcheon.Field.723096_US.Normals.2006-2020.zip</v>
      </c>
    </row>
    <row r="1136" spans="1:10" x14ac:dyDescent="0.25">
      <c r="A1136" t="s">
        <v>35</v>
      </c>
      <c r="B1136" t="s">
        <v>698</v>
      </c>
      <c r="C1136" t="s">
        <v>717</v>
      </c>
      <c r="D1136" s="2">
        <v>723109</v>
      </c>
      <c r="E1136" t="s">
        <v>13</v>
      </c>
      <c r="F1136">
        <v>34.791699999999999</v>
      </c>
      <c r="G1136">
        <v>-79.366100000000003</v>
      </c>
      <c r="H1136">
        <v>-5</v>
      </c>
      <c r="I1136">
        <v>67.099999999999994</v>
      </c>
      <c r="J1136" t="str">
        <f>HYPERLINK("https://climate.onebuilding.org/WMO_Region_4_North_and_Central_America/USA_United_States_of_America/NC_North_Carolina/USA_NC_Laurinburg-Maxton.AP.723109_US.Normals.2006-2020.zip")</f>
        <v>https://climate.onebuilding.org/WMO_Region_4_North_and_Central_America/USA_United_States_of_America/NC_North_Carolina/USA_NC_Laurinburg-Maxton.AP.723109_US.Normals.2006-2020.zip</v>
      </c>
    </row>
    <row r="1137" spans="1:10" x14ac:dyDescent="0.25">
      <c r="A1137" t="s">
        <v>35</v>
      </c>
      <c r="B1137" t="s">
        <v>698</v>
      </c>
      <c r="C1137" t="s">
        <v>718</v>
      </c>
      <c r="D1137" s="2">
        <v>723108</v>
      </c>
      <c r="E1137" t="s">
        <v>13</v>
      </c>
      <c r="F1137">
        <v>34.6081</v>
      </c>
      <c r="G1137">
        <v>-79.059200000000004</v>
      </c>
      <c r="H1137">
        <v>-5</v>
      </c>
      <c r="I1137">
        <v>36.9</v>
      </c>
      <c r="J1137" t="str">
        <f>HYPERLINK("https://climate.onebuilding.org/WMO_Region_4_North_and_Central_America/USA_United_States_of_America/NC_North_Carolina/USA_NC_Lumberton.Muni.AP.723108_US.Normals.2006-2020.zip")</f>
        <v>https://climate.onebuilding.org/WMO_Region_4_North_and_Central_America/USA_United_States_of_America/NC_North_Carolina/USA_NC_Lumberton.Muni.AP.723108_US.Normals.2006-2020.zip</v>
      </c>
    </row>
    <row r="1138" spans="1:10" x14ac:dyDescent="0.25">
      <c r="A1138" t="s">
        <v>35</v>
      </c>
      <c r="B1138" t="s">
        <v>698</v>
      </c>
      <c r="C1138" t="s">
        <v>719</v>
      </c>
      <c r="D1138" s="2">
        <v>746970</v>
      </c>
      <c r="E1138" t="s">
        <v>13</v>
      </c>
      <c r="F1138">
        <v>35.418599999999998</v>
      </c>
      <c r="G1138">
        <v>-82.556700000000006</v>
      </c>
      <c r="H1138">
        <v>-6</v>
      </c>
      <c r="I1138">
        <v>641</v>
      </c>
      <c r="J1138" t="str">
        <f>HYPERLINK("https://climate.onebuilding.org/WMO_Region_4_North_and_Central_America/USA_United_States_of_America/NC_North_Carolina/USA_NC_Mills.River-Mountain.Horticulture.Crops.Research.and.Extension.Center.746970_US.Normals.2006-2020.zip")</f>
        <v>https://climate.onebuilding.org/WMO_Region_4_North_and_Central_America/USA_United_States_of_America/NC_North_Carolina/USA_NC_Mills.River-Mountain.Horticulture.Crops.Research.and.Extension.Center.746970_US.Normals.2006-2020.zip</v>
      </c>
    </row>
    <row r="1139" spans="1:10" x14ac:dyDescent="0.25">
      <c r="A1139" t="s">
        <v>35</v>
      </c>
      <c r="B1139" t="s">
        <v>698</v>
      </c>
      <c r="C1139" t="s">
        <v>720</v>
      </c>
      <c r="D1139" s="2">
        <v>723095</v>
      </c>
      <c r="E1139" t="s">
        <v>13</v>
      </c>
      <c r="F1139">
        <v>35.067799999999998</v>
      </c>
      <c r="G1139">
        <v>-77.048100000000005</v>
      </c>
      <c r="H1139">
        <v>-5</v>
      </c>
      <c r="I1139">
        <v>5.8</v>
      </c>
      <c r="J1139" t="str">
        <f>HYPERLINK("https://climate.onebuilding.org/WMO_Region_4_North_and_Central_America/USA_United_States_of_America/NC_North_Carolina/USA_NC_New.Bern-Coastal.Carolina.Rgnl.AP.723095_US.Normals.1981-2010.zip")</f>
        <v>https://climate.onebuilding.org/WMO_Region_4_North_and_Central_America/USA_United_States_of_America/NC_North_Carolina/USA_NC_New.Bern-Coastal.Carolina.Rgnl.AP.723095_US.Normals.1981-2010.zip</v>
      </c>
    </row>
    <row r="1140" spans="1:10" x14ac:dyDescent="0.25">
      <c r="A1140" t="s">
        <v>35</v>
      </c>
      <c r="B1140" t="s">
        <v>698</v>
      </c>
      <c r="C1140" t="s">
        <v>720</v>
      </c>
      <c r="D1140" s="2">
        <v>723095</v>
      </c>
      <c r="E1140" t="s">
        <v>13</v>
      </c>
      <c r="F1140">
        <v>35.067799999999998</v>
      </c>
      <c r="G1140">
        <v>-77.048100000000005</v>
      </c>
      <c r="H1140">
        <v>-5</v>
      </c>
      <c r="I1140">
        <v>5.8</v>
      </c>
      <c r="J1140" t="str">
        <f>HYPERLINK("https://climate.onebuilding.org/WMO_Region_4_North_and_Central_America/USA_United_States_of_America/NC_North_Carolina/USA_NC_New.Bern-Coastal.Carolina.Rgnl.AP.723095_US.Normals.1991-2020.zip")</f>
        <v>https://climate.onebuilding.org/WMO_Region_4_North_and_Central_America/USA_United_States_of_America/NC_North_Carolina/USA_NC_New.Bern-Coastal.Carolina.Rgnl.AP.723095_US.Normals.1991-2020.zip</v>
      </c>
    </row>
    <row r="1141" spans="1:10" x14ac:dyDescent="0.25">
      <c r="A1141" t="s">
        <v>35</v>
      </c>
      <c r="B1141" t="s">
        <v>698</v>
      </c>
      <c r="C1141" t="s">
        <v>720</v>
      </c>
      <c r="D1141" s="2">
        <v>723095</v>
      </c>
      <c r="E1141" t="s">
        <v>13</v>
      </c>
      <c r="F1141">
        <v>35.067799999999998</v>
      </c>
      <c r="G1141">
        <v>-77.048100000000005</v>
      </c>
      <c r="H1141">
        <v>-5</v>
      </c>
      <c r="I1141">
        <v>5.8</v>
      </c>
      <c r="J1141" t="str">
        <f>HYPERLINK("https://climate.onebuilding.org/WMO_Region_4_North_and_Central_America/USA_United_States_of_America/NC_North_Carolina/USA_NC_New.Bern-Coastal.Carolina.Rgnl.AP.723095_US.Normals.2006-2020.zip")</f>
        <v>https://climate.onebuilding.org/WMO_Region_4_North_and_Central_America/USA_United_States_of_America/NC_North_Carolina/USA_NC_New.Bern-Coastal.Carolina.Rgnl.AP.723095_US.Normals.2006-2020.zip</v>
      </c>
    </row>
    <row r="1142" spans="1:10" x14ac:dyDescent="0.25">
      <c r="A1142" t="s">
        <v>35</v>
      </c>
      <c r="B1142" t="s">
        <v>698</v>
      </c>
      <c r="C1142" t="s">
        <v>721</v>
      </c>
      <c r="D1142" s="2">
        <v>723060</v>
      </c>
      <c r="E1142" t="s">
        <v>13</v>
      </c>
      <c r="F1142">
        <v>35.892200000000003</v>
      </c>
      <c r="G1142">
        <v>-78.781899999999993</v>
      </c>
      <c r="H1142">
        <v>-5</v>
      </c>
      <c r="I1142">
        <v>126.8</v>
      </c>
      <c r="J1142" t="str">
        <f>HYPERLINK("https://climate.onebuilding.org/WMO_Region_4_North_and_Central_America/USA_United_States_of_America/NC_North_Carolina/USA_NC_Raleigh-Durham.Intl.AP.723060_US.Normals.1981-2010.zip")</f>
        <v>https://climate.onebuilding.org/WMO_Region_4_North_and_Central_America/USA_United_States_of_America/NC_North_Carolina/USA_NC_Raleigh-Durham.Intl.AP.723060_US.Normals.1981-2010.zip</v>
      </c>
    </row>
    <row r="1143" spans="1:10" x14ac:dyDescent="0.25">
      <c r="A1143" t="s">
        <v>35</v>
      </c>
      <c r="B1143" t="s">
        <v>698</v>
      </c>
      <c r="C1143" t="s">
        <v>721</v>
      </c>
      <c r="D1143" s="2">
        <v>723060</v>
      </c>
      <c r="E1143" t="s">
        <v>13</v>
      </c>
      <c r="F1143">
        <v>35.892200000000003</v>
      </c>
      <c r="G1143">
        <v>-78.781899999999993</v>
      </c>
      <c r="H1143">
        <v>-5</v>
      </c>
      <c r="I1143">
        <v>126.8</v>
      </c>
      <c r="J1143" t="str">
        <f>HYPERLINK("https://climate.onebuilding.org/WMO_Region_4_North_and_Central_America/USA_United_States_of_America/NC_North_Carolina/USA_NC_Raleigh-Durham.Intl.AP.723060_US.Normals.1991-2020.zip")</f>
        <v>https://climate.onebuilding.org/WMO_Region_4_North_and_Central_America/USA_United_States_of_America/NC_North_Carolina/USA_NC_Raleigh-Durham.Intl.AP.723060_US.Normals.1991-2020.zip</v>
      </c>
    </row>
    <row r="1144" spans="1:10" x14ac:dyDescent="0.25">
      <c r="A1144" t="s">
        <v>35</v>
      </c>
      <c r="B1144" t="s">
        <v>698</v>
      </c>
      <c r="C1144" t="s">
        <v>721</v>
      </c>
      <c r="D1144" s="2">
        <v>723060</v>
      </c>
      <c r="E1144" t="s">
        <v>13</v>
      </c>
      <c r="F1144">
        <v>35.892200000000003</v>
      </c>
      <c r="G1144">
        <v>-78.781899999999993</v>
      </c>
      <c r="H1144">
        <v>-5</v>
      </c>
      <c r="I1144">
        <v>126.8</v>
      </c>
      <c r="J1144" t="str">
        <f>HYPERLINK("https://climate.onebuilding.org/WMO_Region_4_North_and_Central_America/USA_United_States_of_America/NC_North_Carolina/USA_NC_Raleigh-Durham.Intl.AP.723060_US.Normals.2006-2020.zip")</f>
        <v>https://climate.onebuilding.org/WMO_Region_4_North_and_Central_America/USA_United_States_of_America/NC_North_Carolina/USA_NC_Raleigh-Durham.Intl.AP.723060_US.Normals.2006-2020.zip</v>
      </c>
    </row>
    <row r="1145" spans="1:10" x14ac:dyDescent="0.25">
      <c r="A1145" t="s">
        <v>35</v>
      </c>
      <c r="B1145" t="s">
        <v>698</v>
      </c>
      <c r="C1145" t="s">
        <v>722</v>
      </c>
      <c r="D1145" s="2">
        <v>723068</v>
      </c>
      <c r="E1145" t="s">
        <v>13</v>
      </c>
      <c r="F1145">
        <v>35.854999999999997</v>
      </c>
      <c r="G1145">
        <v>-77.893100000000004</v>
      </c>
      <c r="H1145">
        <v>-5</v>
      </c>
      <c r="I1145">
        <v>48.8</v>
      </c>
      <c r="J1145" t="str">
        <f>HYPERLINK("https://climate.onebuilding.org/WMO_Region_4_North_and_Central_America/USA_United_States_of_America/NC_North_Carolina/USA_NC_Rocky.Mount-Wilson.Rgnl.AP.723068_US.Normals.2006-2020.zip")</f>
        <v>https://climate.onebuilding.org/WMO_Region_4_North_and_Central_America/USA_United_States_of_America/NC_North_Carolina/USA_NC_Rocky.Mount-Wilson.Rgnl.AP.723068_US.Normals.2006-2020.zip</v>
      </c>
    </row>
    <row r="1146" spans="1:10" x14ac:dyDescent="0.25">
      <c r="A1146" t="s">
        <v>35</v>
      </c>
      <c r="B1146" t="s">
        <v>698</v>
      </c>
      <c r="C1146" t="s">
        <v>723</v>
      </c>
      <c r="D1146" s="2">
        <v>723020</v>
      </c>
      <c r="E1146" t="s">
        <v>13</v>
      </c>
      <c r="F1146">
        <v>34.267499999999998</v>
      </c>
      <c r="G1146">
        <v>-77.899699999999996</v>
      </c>
      <c r="H1146">
        <v>-5</v>
      </c>
      <c r="I1146">
        <v>10.1</v>
      </c>
      <c r="J1146" t="str">
        <f>HYPERLINK("https://climate.onebuilding.org/WMO_Region_4_North_and_Central_America/USA_United_States_of_America/NC_North_Carolina/USA_NC_Wilmington.Intl.AP.723020_US.Normals.1981-2010.zip")</f>
        <v>https://climate.onebuilding.org/WMO_Region_4_North_and_Central_America/USA_United_States_of_America/NC_North_Carolina/USA_NC_Wilmington.Intl.AP.723020_US.Normals.1981-2010.zip</v>
      </c>
    </row>
    <row r="1147" spans="1:10" x14ac:dyDescent="0.25">
      <c r="A1147" t="s">
        <v>35</v>
      </c>
      <c r="B1147" t="s">
        <v>698</v>
      </c>
      <c r="C1147" t="s">
        <v>723</v>
      </c>
      <c r="D1147" s="2">
        <v>723020</v>
      </c>
      <c r="E1147" t="s">
        <v>13</v>
      </c>
      <c r="F1147">
        <v>34.267499999999998</v>
      </c>
      <c r="G1147">
        <v>-77.899699999999996</v>
      </c>
      <c r="H1147">
        <v>-5</v>
      </c>
      <c r="I1147">
        <v>10.1</v>
      </c>
      <c r="J1147" t="str">
        <f>HYPERLINK("https://climate.onebuilding.org/WMO_Region_4_North_and_Central_America/USA_United_States_of_America/NC_North_Carolina/USA_NC_Wilmington.Intl.AP.723020_US.Normals.2006-2020.zip")</f>
        <v>https://climate.onebuilding.org/WMO_Region_4_North_and_Central_America/USA_United_States_of_America/NC_North_Carolina/USA_NC_Wilmington.Intl.AP.723020_US.Normals.2006-2020.zip</v>
      </c>
    </row>
    <row r="1148" spans="1:10" x14ac:dyDescent="0.25">
      <c r="A1148" t="s">
        <v>35</v>
      </c>
      <c r="B1148" t="s">
        <v>698</v>
      </c>
      <c r="C1148" t="s">
        <v>724</v>
      </c>
      <c r="D1148" s="2">
        <v>723193</v>
      </c>
      <c r="E1148" t="s">
        <v>13</v>
      </c>
      <c r="F1148">
        <v>36.133600000000001</v>
      </c>
      <c r="G1148">
        <v>-80.222200000000001</v>
      </c>
      <c r="H1148">
        <v>-5</v>
      </c>
      <c r="I1148">
        <v>295.7</v>
      </c>
      <c r="J1148" t="str">
        <f>HYPERLINK("https://climate.onebuilding.org/WMO_Region_4_North_and_Central_America/USA_United_States_of_America/NC_North_Carolina/USA_NC_Winston-Salem-Smith.Reynolds.AP.723193_US.Normals.2006-2020.zip")</f>
        <v>https://climate.onebuilding.org/WMO_Region_4_North_and_Central_America/USA_United_States_of_America/NC_North_Carolina/USA_NC_Winston-Salem-Smith.Reynolds.AP.723193_US.Normals.2006-2020.zip</v>
      </c>
    </row>
    <row r="1149" spans="1:10" x14ac:dyDescent="0.25">
      <c r="A1149" t="s">
        <v>35</v>
      </c>
      <c r="B1149" t="s">
        <v>725</v>
      </c>
      <c r="C1149" t="s">
        <v>726</v>
      </c>
      <c r="D1149" s="2">
        <v>727640</v>
      </c>
      <c r="E1149" t="s">
        <v>13</v>
      </c>
      <c r="F1149">
        <v>46.770800000000001</v>
      </c>
      <c r="G1149">
        <v>-100.7603</v>
      </c>
      <c r="H1149">
        <v>-7</v>
      </c>
      <c r="I1149">
        <v>505.4</v>
      </c>
      <c r="J1149" t="str">
        <f>HYPERLINK("https://climate.onebuilding.org/WMO_Region_4_North_and_Central_America/USA_United_States_of_America/ND_North_Dakota/USA_ND_Bismarck.Muni.AP.727640_US.Normals.1981-2010.zip")</f>
        <v>https://climate.onebuilding.org/WMO_Region_4_North_and_Central_America/USA_United_States_of_America/ND_North_Dakota/USA_ND_Bismarck.Muni.AP.727640_US.Normals.1981-2010.zip</v>
      </c>
    </row>
    <row r="1150" spans="1:10" x14ac:dyDescent="0.25">
      <c r="A1150" t="s">
        <v>35</v>
      </c>
      <c r="B1150" t="s">
        <v>725</v>
      </c>
      <c r="C1150" t="s">
        <v>726</v>
      </c>
      <c r="D1150" s="2">
        <v>727640</v>
      </c>
      <c r="E1150" t="s">
        <v>13</v>
      </c>
      <c r="F1150">
        <v>46.770800000000001</v>
      </c>
      <c r="G1150">
        <v>-100.7603</v>
      </c>
      <c r="H1150">
        <v>-7</v>
      </c>
      <c r="I1150">
        <v>505.4</v>
      </c>
      <c r="J1150" t="str">
        <f>HYPERLINK("https://climate.onebuilding.org/WMO_Region_4_North_and_Central_America/USA_United_States_of_America/ND_North_Dakota/USA_ND_Bismarck.Muni.AP.727640_US.Normals.1991-2020.zip")</f>
        <v>https://climate.onebuilding.org/WMO_Region_4_North_and_Central_America/USA_United_States_of_America/ND_North_Dakota/USA_ND_Bismarck.Muni.AP.727640_US.Normals.1991-2020.zip</v>
      </c>
    </row>
    <row r="1151" spans="1:10" x14ac:dyDescent="0.25">
      <c r="A1151" t="s">
        <v>35</v>
      </c>
      <c r="B1151" t="s">
        <v>725</v>
      </c>
      <c r="C1151" t="s">
        <v>726</v>
      </c>
      <c r="D1151" s="2">
        <v>727640</v>
      </c>
      <c r="E1151" t="s">
        <v>13</v>
      </c>
      <c r="F1151">
        <v>46.770800000000001</v>
      </c>
      <c r="G1151">
        <v>-100.7603</v>
      </c>
      <c r="H1151">
        <v>-7</v>
      </c>
      <c r="I1151">
        <v>505.4</v>
      </c>
      <c r="J1151" t="str">
        <f>HYPERLINK("https://climate.onebuilding.org/WMO_Region_4_North_and_Central_America/USA_United_States_of_America/ND_North_Dakota/USA_ND_Bismarck.Muni.AP.727640_US.Normals.2006-2020.zip")</f>
        <v>https://climate.onebuilding.org/WMO_Region_4_North_and_Central_America/USA_United_States_of_America/ND_North_Dakota/USA_ND_Bismarck.Muni.AP.727640_US.Normals.2006-2020.zip</v>
      </c>
    </row>
    <row r="1152" spans="1:10" x14ac:dyDescent="0.25">
      <c r="A1152" t="s">
        <v>35</v>
      </c>
      <c r="B1152" t="s">
        <v>725</v>
      </c>
      <c r="C1152" t="s">
        <v>727</v>
      </c>
      <c r="D1152" s="2">
        <v>727540</v>
      </c>
      <c r="E1152" t="s">
        <v>13</v>
      </c>
      <c r="F1152">
        <v>48.967500000000001</v>
      </c>
      <c r="G1152">
        <v>-102.1703</v>
      </c>
      <c r="H1152">
        <v>-7</v>
      </c>
      <c r="I1152">
        <v>561.4</v>
      </c>
      <c r="J1152" t="str">
        <f>HYPERLINK("https://climate.onebuilding.org/WMO_Region_4_North_and_Central_America/USA_United_States_of_America/ND_North_Dakota/USA_ND_Des.Lacs.Natl.Wildlife.Refuge.727540_US.Normals.2006-2020.zip")</f>
        <v>https://climate.onebuilding.org/WMO_Region_4_North_and_Central_America/USA_United_States_of_America/ND_North_Dakota/USA_ND_Des.Lacs.Natl.Wildlife.Refuge.727540_US.Normals.2006-2020.zip</v>
      </c>
    </row>
    <row r="1153" spans="1:10" x14ac:dyDescent="0.25">
      <c r="A1153" t="s">
        <v>35</v>
      </c>
      <c r="B1153" t="s">
        <v>725</v>
      </c>
      <c r="C1153" t="s">
        <v>728</v>
      </c>
      <c r="D1153" s="2">
        <v>727573</v>
      </c>
      <c r="E1153" t="s">
        <v>13</v>
      </c>
      <c r="F1153">
        <v>48.116700000000002</v>
      </c>
      <c r="G1153">
        <v>-98.9</v>
      </c>
      <c r="H1153">
        <v>-7</v>
      </c>
      <c r="I1153">
        <v>438.9</v>
      </c>
      <c r="J1153" t="str">
        <f>HYPERLINK("https://climate.onebuilding.org/WMO_Region_4_North_and_Central_America/USA_United_States_of_America/ND_North_Dakota/USA_ND_Devils.Lake.Rgnl.AP.727573_US.Normals.2006-2020.zip")</f>
        <v>https://climate.onebuilding.org/WMO_Region_4_North_and_Central_America/USA_United_States_of_America/ND_North_Dakota/USA_ND_Devils.Lake.Rgnl.AP.727573_US.Normals.2006-2020.zip</v>
      </c>
    </row>
    <row r="1154" spans="1:10" x14ac:dyDescent="0.25">
      <c r="A1154" t="s">
        <v>35</v>
      </c>
      <c r="B1154" t="s">
        <v>725</v>
      </c>
      <c r="C1154" t="s">
        <v>729</v>
      </c>
      <c r="D1154" s="2">
        <v>727630</v>
      </c>
      <c r="E1154" t="s">
        <v>13</v>
      </c>
      <c r="F1154">
        <v>46.799399999999999</v>
      </c>
      <c r="G1154">
        <v>-102.7972</v>
      </c>
      <c r="H1154">
        <v>-7</v>
      </c>
      <c r="I1154">
        <v>786.4</v>
      </c>
      <c r="J1154" t="str">
        <f>HYPERLINK("https://climate.onebuilding.org/WMO_Region_4_North_and_Central_America/USA_United_States_of_America/ND_North_Dakota/USA_ND_Dickinson.Roosevelt.Rgnl.AP.727630_US.Normals.2006-2020.zip")</f>
        <v>https://climate.onebuilding.org/WMO_Region_4_North_and_Central_America/USA_United_States_of_America/ND_North_Dakota/USA_ND_Dickinson.Roosevelt.Rgnl.AP.727630_US.Normals.2006-2020.zip</v>
      </c>
    </row>
    <row r="1155" spans="1:10" x14ac:dyDescent="0.25">
      <c r="A1155" t="s">
        <v>35</v>
      </c>
      <c r="B1155" t="s">
        <v>725</v>
      </c>
      <c r="C1155" t="s">
        <v>730</v>
      </c>
      <c r="D1155" s="2">
        <v>727530</v>
      </c>
      <c r="E1155" t="s">
        <v>13</v>
      </c>
      <c r="F1155">
        <v>46.9253</v>
      </c>
      <c r="G1155">
        <v>-96.811099999999996</v>
      </c>
      <c r="H1155">
        <v>-6</v>
      </c>
      <c r="I1155">
        <v>274.3</v>
      </c>
      <c r="J1155" t="str">
        <f>HYPERLINK("https://climate.onebuilding.org/WMO_Region_4_North_and_Central_America/USA_United_States_of_America/ND_North_Dakota/USA_ND_Fargo-Hector.Intl.AP.727530_US.Normals.1981-2010.zip")</f>
        <v>https://climate.onebuilding.org/WMO_Region_4_North_and_Central_America/USA_United_States_of_America/ND_North_Dakota/USA_ND_Fargo-Hector.Intl.AP.727530_US.Normals.1981-2010.zip</v>
      </c>
    </row>
    <row r="1156" spans="1:10" x14ac:dyDescent="0.25">
      <c r="A1156" t="s">
        <v>35</v>
      </c>
      <c r="B1156" t="s">
        <v>725</v>
      </c>
      <c r="C1156" t="s">
        <v>730</v>
      </c>
      <c r="D1156" s="2">
        <v>727530</v>
      </c>
      <c r="E1156" t="s">
        <v>13</v>
      </c>
      <c r="F1156">
        <v>46.9253</v>
      </c>
      <c r="G1156">
        <v>-96.811099999999996</v>
      </c>
      <c r="H1156">
        <v>-6</v>
      </c>
      <c r="I1156">
        <v>274.3</v>
      </c>
      <c r="J1156" t="str">
        <f>HYPERLINK("https://climate.onebuilding.org/WMO_Region_4_North_and_Central_America/USA_United_States_of_America/ND_North_Dakota/USA_ND_Fargo-Hector.Intl.AP.727530_US.Normals.1991-2020.zip")</f>
        <v>https://climate.onebuilding.org/WMO_Region_4_North_and_Central_America/USA_United_States_of_America/ND_North_Dakota/USA_ND_Fargo-Hector.Intl.AP.727530_US.Normals.1991-2020.zip</v>
      </c>
    </row>
    <row r="1157" spans="1:10" x14ac:dyDescent="0.25">
      <c r="A1157" t="s">
        <v>35</v>
      </c>
      <c r="B1157" t="s">
        <v>725</v>
      </c>
      <c r="C1157" t="s">
        <v>730</v>
      </c>
      <c r="D1157" s="2">
        <v>727530</v>
      </c>
      <c r="E1157" t="s">
        <v>13</v>
      </c>
      <c r="F1157">
        <v>46.9253</v>
      </c>
      <c r="G1157">
        <v>-96.811099999999996</v>
      </c>
      <c r="H1157">
        <v>-6</v>
      </c>
      <c r="I1157">
        <v>274.3</v>
      </c>
      <c r="J1157" t="str">
        <f>HYPERLINK("https://climate.onebuilding.org/WMO_Region_4_North_and_Central_America/USA_United_States_of_America/ND_North_Dakota/USA_ND_Fargo-Hector.Intl.AP.727530_US.Normals.2006-2020.zip")</f>
        <v>https://climate.onebuilding.org/WMO_Region_4_North_and_Central_America/USA_United_States_of_America/ND_North_Dakota/USA_ND_Fargo-Hector.Intl.AP.727530_US.Normals.2006-2020.zip</v>
      </c>
    </row>
    <row r="1158" spans="1:10" x14ac:dyDescent="0.25">
      <c r="A1158" t="s">
        <v>35</v>
      </c>
      <c r="B1158" t="s">
        <v>725</v>
      </c>
      <c r="C1158" t="s">
        <v>731</v>
      </c>
      <c r="D1158" s="2">
        <v>727677</v>
      </c>
      <c r="E1158" t="s">
        <v>13</v>
      </c>
      <c r="F1158">
        <v>47.645800000000001</v>
      </c>
      <c r="G1158">
        <v>-101.43940000000001</v>
      </c>
      <c r="H1158">
        <v>-7</v>
      </c>
      <c r="I1158">
        <v>582.20000000000005</v>
      </c>
      <c r="J1158" t="str">
        <f>HYPERLINK("https://climate.onebuilding.org/WMO_Region_4_North_and_Central_America/USA_United_States_of_America/ND_North_Dakota/USA_ND_Garrison.Muni.AP.727677_US.Normals.2006-2020.zip")</f>
        <v>https://climate.onebuilding.org/WMO_Region_4_North_and_Central_America/USA_United_States_of_America/ND_North_Dakota/USA_ND_Garrison.Muni.AP.727677_US.Normals.2006-2020.zip</v>
      </c>
    </row>
    <row r="1159" spans="1:10" x14ac:dyDescent="0.25">
      <c r="A1159" t="s">
        <v>35</v>
      </c>
      <c r="B1159" t="s">
        <v>725</v>
      </c>
      <c r="C1159" t="s">
        <v>732</v>
      </c>
      <c r="D1159" s="2">
        <v>727575</v>
      </c>
      <c r="E1159" t="s">
        <v>13</v>
      </c>
      <c r="F1159">
        <v>47.966700000000003</v>
      </c>
      <c r="G1159">
        <v>-97.4</v>
      </c>
      <c r="H1159">
        <v>-6</v>
      </c>
      <c r="I1159">
        <v>276.10000000000002</v>
      </c>
      <c r="J1159" t="str">
        <f>HYPERLINK("https://climate.onebuilding.org/WMO_Region_4_North_and_Central_America/USA_United_States_of_America/ND_North_Dakota/USA_ND_Grand.Forks.AFB.727575_US.Normals.1981-2010.zip")</f>
        <v>https://climate.onebuilding.org/WMO_Region_4_North_and_Central_America/USA_United_States_of_America/ND_North_Dakota/USA_ND_Grand.Forks.AFB.727575_US.Normals.1981-2010.zip</v>
      </c>
    </row>
    <row r="1160" spans="1:10" x14ac:dyDescent="0.25">
      <c r="A1160" t="s">
        <v>35</v>
      </c>
      <c r="B1160" t="s">
        <v>725</v>
      </c>
      <c r="C1160" t="s">
        <v>732</v>
      </c>
      <c r="D1160" s="2">
        <v>727575</v>
      </c>
      <c r="E1160" t="s">
        <v>13</v>
      </c>
      <c r="F1160">
        <v>47.966700000000003</v>
      </c>
      <c r="G1160">
        <v>-97.4</v>
      </c>
      <c r="H1160">
        <v>-6</v>
      </c>
      <c r="I1160">
        <v>276.10000000000002</v>
      </c>
      <c r="J1160" t="str">
        <f>HYPERLINK("https://climate.onebuilding.org/WMO_Region_4_North_and_Central_America/USA_United_States_of_America/ND_North_Dakota/USA_ND_Grand.Forks.AFB.727575_US.Normals.1991-2020.zip")</f>
        <v>https://climate.onebuilding.org/WMO_Region_4_North_and_Central_America/USA_United_States_of_America/ND_North_Dakota/USA_ND_Grand.Forks.AFB.727575_US.Normals.1991-2020.zip</v>
      </c>
    </row>
    <row r="1161" spans="1:10" x14ac:dyDescent="0.25">
      <c r="A1161" t="s">
        <v>35</v>
      </c>
      <c r="B1161" t="s">
        <v>725</v>
      </c>
      <c r="C1161" t="s">
        <v>732</v>
      </c>
      <c r="D1161" s="2">
        <v>727575</v>
      </c>
      <c r="E1161" t="s">
        <v>13</v>
      </c>
      <c r="F1161">
        <v>47.966700000000003</v>
      </c>
      <c r="G1161">
        <v>-97.4</v>
      </c>
      <c r="H1161">
        <v>-6</v>
      </c>
      <c r="I1161">
        <v>276.10000000000002</v>
      </c>
      <c r="J1161" t="str">
        <f>HYPERLINK("https://climate.onebuilding.org/WMO_Region_4_North_and_Central_America/USA_United_States_of_America/ND_North_Dakota/USA_ND_Grand.Forks.AFB.727575_US.Normals.2006-2020.zip")</f>
        <v>https://climate.onebuilding.org/WMO_Region_4_North_and_Central_America/USA_United_States_of_America/ND_North_Dakota/USA_ND_Grand.Forks.AFB.727575_US.Normals.2006-2020.zip</v>
      </c>
    </row>
    <row r="1162" spans="1:10" x14ac:dyDescent="0.25">
      <c r="A1162" t="s">
        <v>35</v>
      </c>
      <c r="B1162" t="s">
        <v>725</v>
      </c>
      <c r="C1162" t="s">
        <v>733</v>
      </c>
      <c r="D1162" s="2">
        <v>727570</v>
      </c>
      <c r="E1162" t="s">
        <v>13</v>
      </c>
      <c r="F1162">
        <v>47.942799999999998</v>
      </c>
      <c r="G1162">
        <v>-97.183899999999994</v>
      </c>
      <c r="H1162">
        <v>-6</v>
      </c>
      <c r="I1162">
        <v>256.60000000000002</v>
      </c>
      <c r="J1162" t="str">
        <f>HYPERLINK("https://climate.onebuilding.org/WMO_Region_4_North_and_Central_America/USA_United_States_of_America/ND_North_Dakota/USA_ND_Grand.Forks.Intl.AP.727570_US.Normals.1981-2010.zip")</f>
        <v>https://climate.onebuilding.org/WMO_Region_4_North_and_Central_America/USA_United_States_of_America/ND_North_Dakota/USA_ND_Grand.Forks.Intl.AP.727570_US.Normals.1981-2010.zip</v>
      </c>
    </row>
    <row r="1163" spans="1:10" x14ac:dyDescent="0.25">
      <c r="A1163" t="s">
        <v>35</v>
      </c>
      <c r="B1163" t="s">
        <v>725</v>
      </c>
      <c r="C1163" t="s">
        <v>733</v>
      </c>
      <c r="D1163" s="2">
        <v>727570</v>
      </c>
      <c r="E1163" t="s">
        <v>13</v>
      </c>
      <c r="F1163">
        <v>47.942799999999998</v>
      </c>
      <c r="G1163">
        <v>-97.183899999999994</v>
      </c>
      <c r="H1163">
        <v>-6</v>
      </c>
      <c r="I1163">
        <v>256.60000000000002</v>
      </c>
      <c r="J1163" t="str">
        <f>HYPERLINK("https://climate.onebuilding.org/WMO_Region_4_North_and_Central_America/USA_United_States_of_America/ND_North_Dakota/USA_ND_Grand.Forks.Intl.AP.727570_US.Normals.2006-2020.zip")</f>
        <v>https://climate.onebuilding.org/WMO_Region_4_North_and_Central_America/USA_United_States_of_America/ND_North_Dakota/USA_ND_Grand.Forks.Intl.AP.727570_US.Normals.2006-2020.zip</v>
      </c>
    </row>
    <row r="1164" spans="1:10" x14ac:dyDescent="0.25">
      <c r="A1164" t="s">
        <v>35</v>
      </c>
      <c r="B1164" t="s">
        <v>725</v>
      </c>
      <c r="C1164" t="s">
        <v>734</v>
      </c>
      <c r="D1164" s="2">
        <v>727584</v>
      </c>
      <c r="E1164" t="s">
        <v>13</v>
      </c>
      <c r="F1164">
        <v>46.0139</v>
      </c>
      <c r="G1164">
        <v>-102.65470000000001</v>
      </c>
      <c r="H1164">
        <v>-7</v>
      </c>
      <c r="I1164">
        <v>824.5</v>
      </c>
      <c r="J1164" t="str">
        <f>HYPERLINK("https://climate.onebuilding.org/WMO_Region_4_North_and_Central_America/USA_United_States_of_America/ND_North_Dakota/USA_ND_Hettinger.Muni.AP.727584_US.Normals.2006-2020.zip")</f>
        <v>https://climate.onebuilding.org/WMO_Region_4_North_and_Central_America/USA_United_States_of_America/ND_North_Dakota/USA_ND_Hettinger.Muni.AP.727584_US.Normals.2006-2020.zip</v>
      </c>
    </row>
    <row r="1165" spans="1:10" x14ac:dyDescent="0.25">
      <c r="A1165" t="s">
        <v>35</v>
      </c>
      <c r="B1165" t="s">
        <v>725</v>
      </c>
      <c r="C1165" t="s">
        <v>735</v>
      </c>
      <c r="D1165" s="2">
        <v>727535</v>
      </c>
      <c r="E1165" t="s">
        <v>13</v>
      </c>
      <c r="F1165">
        <v>46.925800000000002</v>
      </c>
      <c r="G1165">
        <v>-98.669200000000004</v>
      </c>
      <c r="H1165">
        <v>-7</v>
      </c>
      <c r="I1165">
        <v>455.4</v>
      </c>
      <c r="J1165" t="str">
        <f>HYPERLINK("https://climate.onebuilding.org/WMO_Region_4_North_and_Central_America/USA_United_States_of_America/ND_North_Dakota/USA_ND_Jamestown.Rgnl.AP.727535_US.Normals.1991-2020.zip")</f>
        <v>https://climate.onebuilding.org/WMO_Region_4_North_and_Central_America/USA_United_States_of_America/ND_North_Dakota/USA_ND_Jamestown.Rgnl.AP.727535_US.Normals.1991-2020.zip</v>
      </c>
    </row>
    <row r="1166" spans="1:10" x14ac:dyDescent="0.25">
      <c r="A1166" t="s">
        <v>35</v>
      </c>
      <c r="B1166" t="s">
        <v>725</v>
      </c>
      <c r="C1166" t="s">
        <v>735</v>
      </c>
      <c r="D1166" s="2">
        <v>727535</v>
      </c>
      <c r="E1166" t="s">
        <v>13</v>
      </c>
      <c r="F1166">
        <v>46.925800000000002</v>
      </c>
      <c r="G1166">
        <v>-98.669200000000004</v>
      </c>
      <c r="H1166">
        <v>-7</v>
      </c>
      <c r="I1166">
        <v>455.4</v>
      </c>
      <c r="J1166" t="str">
        <f>HYPERLINK("https://climate.onebuilding.org/WMO_Region_4_North_and_Central_America/USA_United_States_of_America/ND_North_Dakota/USA_ND_Jamestown.Rgnl.AP.727535_US.Normals.2006-2020.zip")</f>
        <v>https://climate.onebuilding.org/WMO_Region_4_North_and_Central_America/USA_United_States_of_America/ND_North_Dakota/USA_ND_Jamestown.Rgnl.AP.727535_US.Normals.2006-2020.zip</v>
      </c>
    </row>
    <row r="1167" spans="1:10" x14ac:dyDescent="0.25">
      <c r="A1167" t="s">
        <v>35</v>
      </c>
      <c r="B1167" t="s">
        <v>725</v>
      </c>
      <c r="C1167" t="s">
        <v>736</v>
      </c>
      <c r="D1167" s="2">
        <v>727520</v>
      </c>
      <c r="E1167" t="s">
        <v>13</v>
      </c>
      <c r="F1167">
        <v>46.8947</v>
      </c>
      <c r="G1167">
        <v>-103.37690000000001</v>
      </c>
      <c r="H1167">
        <v>-7</v>
      </c>
      <c r="I1167">
        <v>844.6</v>
      </c>
      <c r="J1167" t="str">
        <f>HYPERLINK("https://climate.onebuilding.org/WMO_Region_4_North_and_Central_America/USA_United_States_of_America/ND_North_Dakota/USA_ND_Medora-Roosevelt.Natl.Park-Painted.Canyon.727520_US.Normals.2006-2020.zip")</f>
        <v>https://climate.onebuilding.org/WMO_Region_4_North_and_Central_America/USA_United_States_of_America/ND_North_Dakota/USA_ND_Medora-Roosevelt.Natl.Park-Painted.Canyon.727520_US.Normals.2006-2020.zip</v>
      </c>
    </row>
    <row r="1168" spans="1:10" x14ac:dyDescent="0.25">
      <c r="A1168" t="s">
        <v>35</v>
      </c>
      <c r="B1168" t="s">
        <v>725</v>
      </c>
      <c r="C1168" t="s">
        <v>737</v>
      </c>
      <c r="D1168" s="2">
        <v>727675</v>
      </c>
      <c r="E1168" t="s">
        <v>13</v>
      </c>
      <c r="F1168">
        <v>48.416699999999999</v>
      </c>
      <c r="G1168">
        <v>-101.35</v>
      </c>
      <c r="H1168">
        <v>-7</v>
      </c>
      <c r="I1168">
        <v>497.1</v>
      </c>
      <c r="J1168" t="str">
        <f>HYPERLINK("https://climate.onebuilding.org/WMO_Region_4_North_and_Central_America/USA_United_States_of_America/ND_North_Dakota/USA_ND_Minot.AFB.727675_US.Normals.1981-2010.zip")</f>
        <v>https://climate.onebuilding.org/WMO_Region_4_North_and_Central_America/USA_United_States_of_America/ND_North_Dakota/USA_ND_Minot.AFB.727675_US.Normals.1981-2010.zip</v>
      </c>
    </row>
    <row r="1169" spans="1:10" x14ac:dyDescent="0.25">
      <c r="A1169" t="s">
        <v>35</v>
      </c>
      <c r="B1169" t="s">
        <v>725</v>
      </c>
      <c r="C1169" t="s">
        <v>737</v>
      </c>
      <c r="D1169" s="2">
        <v>727675</v>
      </c>
      <c r="E1169" t="s">
        <v>13</v>
      </c>
      <c r="F1169">
        <v>48.416699999999999</v>
      </c>
      <c r="G1169">
        <v>-101.35</v>
      </c>
      <c r="H1169">
        <v>-7</v>
      </c>
      <c r="I1169">
        <v>497.1</v>
      </c>
      <c r="J1169" t="str">
        <f>HYPERLINK("https://climate.onebuilding.org/WMO_Region_4_North_and_Central_America/USA_United_States_of_America/ND_North_Dakota/USA_ND_Minot.AFB.727675_US.Normals.1991-2020.zip")</f>
        <v>https://climate.onebuilding.org/WMO_Region_4_North_and_Central_America/USA_United_States_of_America/ND_North_Dakota/USA_ND_Minot.AFB.727675_US.Normals.1991-2020.zip</v>
      </c>
    </row>
    <row r="1170" spans="1:10" x14ac:dyDescent="0.25">
      <c r="A1170" t="s">
        <v>35</v>
      </c>
      <c r="B1170" t="s">
        <v>725</v>
      </c>
      <c r="C1170" t="s">
        <v>737</v>
      </c>
      <c r="D1170" s="2">
        <v>727675</v>
      </c>
      <c r="E1170" t="s">
        <v>13</v>
      </c>
      <c r="F1170">
        <v>48.416699999999999</v>
      </c>
      <c r="G1170">
        <v>-101.35</v>
      </c>
      <c r="H1170">
        <v>-7</v>
      </c>
      <c r="I1170">
        <v>497.1</v>
      </c>
      <c r="J1170" t="str">
        <f>HYPERLINK("https://climate.onebuilding.org/WMO_Region_4_North_and_Central_America/USA_United_States_of_America/ND_North_Dakota/USA_ND_Minot.AFB.727675_US.Normals.2006-2020.zip")</f>
        <v>https://climate.onebuilding.org/WMO_Region_4_North_and_Central_America/USA_United_States_of_America/ND_North_Dakota/USA_ND_Minot.AFB.727675_US.Normals.2006-2020.zip</v>
      </c>
    </row>
    <row r="1171" spans="1:10" x14ac:dyDescent="0.25">
      <c r="A1171" t="s">
        <v>35</v>
      </c>
      <c r="B1171" t="s">
        <v>725</v>
      </c>
      <c r="C1171" t="s">
        <v>738</v>
      </c>
      <c r="D1171" s="2">
        <v>727676</v>
      </c>
      <c r="E1171" t="s">
        <v>13</v>
      </c>
      <c r="F1171">
        <v>48.255299999999998</v>
      </c>
      <c r="G1171">
        <v>-101.27330000000001</v>
      </c>
      <c r="H1171">
        <v>-7</v>
      </c>
      <c r="I1171">
        <v>507.5</v>
      </c>
      <c r="J1171" t="str">
        <f>HYPERLINK("https://climate.onebuilding.org/WMO_Region_4_North_and_Central_America/USA_United_States_of_America/ND_North_Dakota/USA_ND_Minot.Intl.AP.727676_US.Normals.1981-2010.zip")</f>
        <v>https://climate.onebuilding.org/WMO_Region_4_North_and_Central_America/USA_United_States_of_America/ND_North_Dakota/USA_ND_Minot.Intl.AP.727676_US.Normals.1981-2010.zip</v>
      </c>
    </row>
    <row r="1172" spans="1:10" x14ac:dyDescent="0.25">
      <c r="A1172" t="s">
        <v>35</v>
      </c>
      <c r="B1172" t="s">
        <v>725</v>
      </c>
      <c r="C1172" t="s">
        <v>738</v>
      </c>
      <c r="D1172" s="2">
        <v>727676</v>
      </c>
      <c r="E1172" t="s">
        <v>13</v>
      </c>
      <c r="F1172">
        <v>48.255299999999998</v>
      </c>
      <c r="G1172">
        <v>-101.27330000000001</v>
      </c>
      <c r="H1172">
        <v>-7</v>
      </c>
      <c r="I1172">
        <v>507.5</v>
      </c>
      <c r="J1172" t="str">
        <f>HYPERLINK("https://climate.onebuilding.org/WMO_Region_4_North_and_Central_America/USA_United_States_of_America/ND_North_Dakota/USA_ND_Minot.Intl.AP.727676_US.Normals.1991-2020.zip")</f>
        <v>https://climate.onebuilding.org/WMO_Region_4_North_and_Central_America/USA_United_States_of_America/ND_North_Dakota/USA_ND_Minot.Intl.AP.727676_US.Normals.1991-2020.zip</v>
      </c>
    </row>
    <row r="1173" spans="1:10" x14ac:dyDescent="0.25">
      <c r="A1173" t="s">
        <v>35</v>
      </c>
      <c r="B1173" t="s">
        <v>725</v>
      </c>
      <c r="C1173" t="s">
        <v>738</v>
      </c>
      <c r="D1173" s="2">
        <v>727676</v>
      </c>
      <c r="E1173" t="s">
        <v>13</v>
      </c>
      <c r="F1173">
        <v>48.255299999999998</v>
      </c>
      <c r="G1173">
        <v>-101.27330000000001</v>
      </c>
      <c r="H1173">
        <v>-7</v>
      </c>
      <c r="I1173">
        <v>507.5</v>
      </c>
      <c r="J1173" t="str">
        <f>HYPERLINK("https://climate.onebuilding.org/WMO_Region_4_North_and_Central_America/USA_United_States_of_America/ND_North_Dakota/USA_ND_Minot.Intl.AP.727676_US.Normals.2006-2020.zip")</f>
        <v>https://climate.onebuilding.org/WMO_Region_4_North_and_Central_America/USA_United_States_of_America/ND_North_Dakota/USA_ND_Minot.Intl.AP.727676_US.Normals.2006-2020.zip</v>
      </c>
    </row>
    <row r="1174" spans="1:10" x14ac:dyDescent="0.25">
      <c r="A1174" t="s">
        <v>35</v>
      </c>
      <c r="B1174" t="s">
        <v>725</v>
      </c>
      <c r="C1174" t="s">
        <v>739</v>
      </c>
      <c r="D1174" s="2">
        <v>727670</v>
      </c>
      <c r="E1174" t="s">
        <v>13</v>
      </c>
      <c r="F1174">
        <v>48.173900000000003</v>
      </c>
      <c r="G1174">
        <v>-103.6367</v>
      </c>
      <c r="H1174">
        <v>-7</v>
      </c>
      <c r="I1174">
        <v>579.70000000000005</v>
      </c>
      <c r="J1174" t="str">
        <f>HYPERLINK("https://climate.onebuilding.org/WMO_Region_4_North_and_Central_America/USA_United_States_of_America/ND_North_Dakota/USA_ND_Williston-Sloulin.Field.Intl.AP.727670_US.Normals.1981-2010.zip")</f>
        <v>https://climate.onebuilding.org/WMO_Region_4_North_and_Central_America/USA_United_States_of_America/ND_North_Dakota/USA_ND_Williston-Sloulin.Field.Intl.AP.727670_US.Normals.1981-2010.zip</v>
      </c>
    </row>
    <row r="1175" spans="1:10" x14ac:dyDescent="0.25">
      <c r="A1175" t="s">
        <v>35</v>
      </c>
      <c r="B1175" t="s">
        <v>725</v>
      </c>
      <c r="C1175" t="s">
        <v>739</v>
      </c>
      <c r="D1175" s="2">
        <v>727670</v>
      </c>
      <c r="E1175" t="s">
        <v>13</v>
      </c>
      <c r="F1175">
        <v>48.173900000000003</v>
      </c>
      <c r="G1175">
        <v>-103.6367</v>
      </c>
      <c r="H1175">
        <v>-7</v>
      </c>
      <c r="I1175">
        <v>579.70000000000005</v>
      </c>
      <c r="J1175" t="str">
        <f>HYPERLINK("https://climate.onebuilding.org/WMO_Region_4_North_and_Central_America/USA_United_States_of_America/ND_North_Dakota/USA_ND_Williston-Sloulin.Field.Intl.AP.727670_US.Normals.1991-2020.zip")</f>
        <v>https://climate.onebuilding.org/WMO_Region_4_North_and_Central_America/USA_United_States_of_America/ND_North_Dakota/USA_ND_Williston-Sloulin.Field.Intl.AP.727670_US.Normals.1991-2020.zip</v>
      </c>
    </row>
    <row r="1176" spans="1:10" x14ac:dyDescent="0.25">
      <c r="A1176" t="s">
        <v>35</v>
      </c>
      <c r="B1176" t="s">
        <v>725</v>
      </c>
      <c r="C1176" t="s">
        <v>739</v>
      </c>
      <c r="D1176" s="2">
        <v>727670</v>
      </c>
      <c r="E1176" t="s">
        <v>13</v>
      </c>
      <c r="F1176">
        <v>48.173900000000003</v>
      </c>
      <c r="G1176">
        <v>-103.6367</v>
      </c>
      <c r="H1176">
        <v>-7</v>
      </c>
      <c r="I1176">
        <v>579.70000000000005</v>
      </c>
      <c r="J1176" t="str">
        <f>HYPERLINK("https://climate.onebuilding.org/WMO_Region_4_North_and_Central_America/USA_United_States_of_America/ND_North_Dakota/USA_ND_Williston-Sloulin.Field.Intl.AP.727670_US.Normals.2006-2020.zip")</f>
        <v>https://climate.onebuilding.org/WMO_Region_4_North_and_Central_America/USA_United_States_of_America/ND_North_Dakota/USA_ND_Williston-Sloulin.Field.Intl.AP.727670_US.Normals.2006-2020.zip</v>
      </c>
    </row>
    <row r="1177" spans="1:10" x14ac:dyDescent="0.25">
      <c r="A1177" t="s">
        <v>35</v>
      </c>
      <c r="B1177" t="s">
        <v>740</v>
      </c>
      <c r="C1177" t="s">
        <v>741</v>
      </c>
      <c r="D1177" s="2">
        <v>725635</v>
      </c>
      <c r="E1177" t="s">
        <v>13</v>
      </c>
      <c r="F1177">
        <v>42.057200000000002</v>
      </c>
      <c r="G1177">
        <v>-102.8</v>
      </c>
      <c r="H1177">
        <v>-7</v>
      </c>
      <c r="I1177">
        <v>1196</v>
      </c>
      <c r="J1177" t="str">
        <f>HYPERLINK("https://climate.onebuilding.org/WMO_Region_4_North_and_Central_America/USA_United_States_of_America/NE_Nebraska/USA_NE_Alliance.Muni.AP.725635_US.Normals.2006-2020.zip")</f>
        <v>https://climate.onebuilding.org/WMO_Region_4_North_and_Central_America/USA_United_States_of_America/NE_Nebraska/USA_NE_Alliance.Muni.AP.725635_US.Normals.2006-2020.zip</v>
      </c>
    </row>
    <row r="1178" spans="1:10" x14ac:dyDescent="0.25">
      <c r="A1178" t="s">
        <v>35</v>
      </c>
      <c r="B1178" t="s">
        <v>740</v>
      </c>
      <c r="C1178" t="s">
        <v>742</v>
      </c>
      <c r="D1178" s="2">
        <v>725540</v>
      </c>
      <c r="E1178" t="s">
        <v>13</v>
      </c>
      <c r="F1178">
        <v>41.116700000000002</v>
      </c>
      <c r="G1178">
        <v>-95.916700000000006</v>
      </c>
      <c r="H1178">
        <v>-6</v>
      </c>
      <c r="I1178">
        <v>319.10000000000002</v>
      </c>
      <c r="J1178" t="str">
        <f>HYPERLINK("https://climate.onebuilding.org/WMO_Region_4_North_and_Central_America/USA_United_States_of_America/NE_Nebraska/USA_NE_Bellevue-Offutt.AFB.725540_US.Normals.1981-2010.zip")</f>
        <v>https://climate.onebuilding.org/WMO_Region_4_North_and_Central_America/USA_United_States_of_America/NE_Nebraska/USA_NE_Bellevue-Offutt.AFB.725540_US.Normals.1981-2010.zip</v>
      </c>
    </row>
    <row r="1179" spans="1:10" x14ac:dyDescent="0.25">
      <c r="A1179" t="s">
        <v>35</v>
      </c>
      <c r="B1179" t="s">
        <v>740</v>
      </c>
      <c r="C1179" t="s">
        <v>742</v>
      </c>
      <c r="D1179" s="2">
        <v>725540</v>
      </c>
      <c r="E1179" t="s">
        <v>13</v>
      </c>
      <c r="F1179">
        <v>41.116700000000002</v>
      </c>
      <c r="G1179">
        <v>-95.916700000000006</v>
      </c>
      <c r="H1179">
        <v>-6</v>
      </c>
      <c r="I1179">
        <v>319.10000000000002</v>
      </c>
      <c r="J1179" t="str">
        <f>HYPERLINK("https://climate.onebuilding.org/WMO_Region_4_North_and_Central_America/USA_United_States_of_America/NE_Nebraska/USA_NE_Bellevue-Offutt.AFB.725540_US.Normals.1991-2020.zip")</f>
        <v>https://climate.onebuilding.org/WMO_Region_4_North_and_Central_America/USA_United_States_of_America/NE_Nebraska/USA_NE_Bellevue-Offutt.AFB.725540_US.Normals.1991-2020.zip</v>
      </c>
    </row>
    <row r="1180" spans="1:10" x14ac:dyDescent="0.25">
      <c r="A1180" t="s">
        <v>35</v>
      </c>
      <c r="B1180" t="s">
        <v>740</v>
      </c>
      <c r="C1180" t="s">
        <v>742</v>
      </c>
      <c r="D1180" s="2">
        <v>725540</v>
      </c>
      <c r="E1180" t="s">
        <v>13</v>
      </c>
      <c r="F1180">
        <v>41.116700000000002</v>
      </c>
      <c r="G1180">
        <v>-95.916700000000006</v>
      </c>
      <c r="H1180">
        <v>-6</v>
      </c>
      <c r="I1180">
        <v>319.10000000000002</v>
      </c>
      <c r="J1180" t="str">
        <f>HYPERLINK("https://climate.onebuilding.org/WMO_Region_4_North_and_Central_America/USA_United_States_of_America/NE_Nebraska/USA_NE_Bellevue-Offutt.AFB.725540_US.Normals.2006-2020.zip")</f>
        <v>https://climate.onebuilding.org/WMO_Region_4_North_and_Central_America/USA_United_States_of_America/NE_Nebraska/USA_NE_Bellevue-Offutt.AFB.725540_US.Normals.2006-2020.zip</v>
      </c>
    </row>
    <row r="1181" spans="1:10" x14ac:dyDescent="0.25">
      <c r="A1181" t="s">
        <v>35</v>
      </c>
      <c r="B1181" t="s">
        <v>740</v>
      </c>
      <c r="C1181" t="s">
        <v>743</v>
      </c>
      <c r="D1181" s="2">
        <v>725555</v>
      </c>
      <c r="E1181" t="s">
        <v>13</v>
      </c>
      <c r="F1181">
        <v>41.433300000000003</v>
      </c>
      <c r="G1181">
        <v>-99.633300000000006</v>
      </c>
      <c r="H1181">
        <v>-7</v>
      </c>
      <c r="I1181">
        <v>771.1</v>
      </c>
      <c r="J1181" t="str">
        <f>HYPERLINK("https://climate.onebuilding.org/WMO_Region_4_North_and_Central_America/USA_United_States_of_America/NE_Nebraska/USA_NE_Broken.Bow.Muni.AP.725555_US.Normals.2006-2020.zip")</f>
        <v>https://climate.onebuilding.org/WMO_Region_4_North_and_Central_America/USA_United_States_of_America/NE_Nebraska/USA_NE_Broken.Bow.Muni.AP.725555_US.Normals.2006-2020.zip</v>
      </c>
    </row>
    <row r="1182" spans="1:10" x14ac:dyDescent="0.25">
      <c r="A1182" t="s">
        <v>35</v>
      </c>
      <c r="B1182" t="s">
        <v>740</v>
      </c>
      <c r="C1182" t="s">
        <v>744</v>
      </c>
      <c r="D1182" s="2">
        <v>725636</v>
      </c>
      <c r="E1182" t="s">
        <v>13</v>
      </c>
      <c r="F1182">
        <v>42.837499999999999</v>
      </c>
      <c r="G1182">
        <v>-103.09529999999999</v>
      </c>
      <c r="H1182">
        <v>-7</v>
      </c>
      <c r="I1182">
        <v>1011.3</v>
      </c>
      <c r="J1182" t="str">
        <f>HYPERLINK("https://climate.onebuilding.org/WMO_Region_4_North_and_Central_America/USA_United_States_of_America/NE_Nebraska/USA_NE_Chadron.Muni.AP.725636_US.Normals.2006-2020.zip")</f>
        <v>https://climate.onebuilding.org/WMO_Region_4_North_and_Central_America/USA_United_States_of_America/NE_Nebraska/USA_NE_Chadron.Muni.AP.725636_US.Normals.2006-2020.zip</v>
      </c>
    </row>
    <row r="1183" spans="1:10" x14ac:dyDescent="0.25">
      <c r="A1183" t="s">
        <v>35</v>
      </c>
      <c r="B1183" t="s">
        <v>740</v>
      </c>
      <c r="C1183" t="s">
        <v>745</v>
      </c>
      <c r="D1183" s="2">
        <v>744410</v>
      </c>
      <c r="E1183" t="s">
        <v>13</v>
      </c>
      <c r="F1183">
        <v>40.695300000000003</v>
      </c>
      <c r="G1183">
        <v>-96.854200000000006</v>
      </c>
      <c r="H1183">
        <v>-6</v>
      </c>
      <c r="I1183">
        <v>418.2</v>
      </c>
      <c r="J1183" t="str">
        <f>HYPERLINK("https://climate.onebuilding.org/WMO_Region_4_North_and_Central_America/USA_United_States_of_America/NE_Nebraska/USA_NE_Denton-Spring.Creek.Prairie.Audubon.Center.744410_US.Normals.2006-2020.zip")</f>
        <v>https://climate.onebuilding.org/WMO_Region_4_North_and_Central_America/USA_United_States_of_America/NE_Nebraska/USA_NE_Denton-Spring.Creek.Prairie.Audubon.Center.744410_US.Normals.2006-2020.zip</v>
      </c>
    </row>
    <row r="1184" spans="1:10" x14ac:dyDescent="0.25">
      <c r="A1184" t="s">
        <v>35</v>
      </c>
      <c r="B1184" t="s">
        <v>740</v>
      </c>
      <c r="C1184" t="s">
        <v>746</v>
      </c>
      <c r="D1184" s="2">
        <v>725533</v>
      </c>
      <c r="E1184" t="s">
        <v>13</v>
      </c>
      <c r="F1184">
        <v>40.080300000000001</v>
      </c>
      <c r="G1184">
        <v>-95.591899999999995</v>
      </c>
      <c r="H1184">
        <v>-6</v>
      </c>
      <c r="I1184">
        <v>298.7</v>
      </c>
      <c r="J1184" t="str">
        <f>HYPERLINK("https://climate.onebuilding.org/WMO_Region_4_North_and_Central_America/USA_United_States_of_America/NE_Nebraska/USA_NE_Falls.City-Brenner.Field.AP.725533_US.Normals.2006-2020.zip")</f>
        <v>https://climate.onebuilding.org/WMO_Region_4_North_and_Central_America/USA_United_States_of_America/NE_Nebraska/USA_NE_Falls.City-Brenner.Field.AP.725533_US.Normals.2006-2020.zip</v>
      </c>
    </row>
    <row r="1185" spans="1:10" x14ac:dyDescent="0.25">
      <c r="A1185" t="s">
        <v>35</v>
      </c>
      <c r="B1185" t="s">
        <v>740</v>
      </c>
      <c r="C1185" t="s">
        <v>747</v>
      </c>
      <c r="D1185" s="2">
        <v>725520</v>
      </c>
      <c r="E1185" t="s">
        <v>13</v>
      </c>
      <c r="F1185">
        <v>40.961100000000002</v>
      </c>
      <c r="G1185">
        <v>-98.313599999999994</v>
      </c>
      <c r="H1185">
        <v>-7</v>
      </c>
      <c r="I1185">
        <v>560.79999999999995</v>
      </c>
      <c r="J1185" t="str">
        <f>HYPERLINK("https://climate.onebuilding.org/WMO_Region_4_North_and_Central_America/USA_United_States_of_America/NE_Nebraska/USA_NE_Grand.Island-Central.Nebraska.Rgnl.AP.725520_US.Normals.1981-2010.zip")</f>
        <v>https://climate.onebuilding.org/WMO_Region_4_North_and_Central_America/USA_United_States_of_America/NE_Nebraska/USA_NE_Grand.Island-Central.Nebraska.Rgnl.AP.725520_US.Normals.1981-2010.zip</v>
      </c>
    </row>
    <row r="1186" spans="1:10" x14ac:dyDescent="0.25">
      <c r="A1186" t="s">
        <v>35</v>
      </c>
      <c r="B1186" t="s">
        <v>740</v>
      </c>
      <c r="C1186" t="s">
        <v>747</v>
      </c>
      <c r="D1186" s="2">
        <v>725520</v>
      </c>
      <c r="E1186" t="s">
        <v>13</v>
      </c>
      <c r="F1186">
        <v>40.961100000000002</v>
      </c>
      <c r="G1186">
        <v>-98.313599999999994</v>
      </c>
      <c r="H1186">
        <v>-7</v>
      </c>
      <c r="I1186">
        <v>560.79999999999995</v>
      </c>
      <c r="J1186" t="str">
        <f>HYPERLINK("https://climate.onebuilding.org/WMO_Region_4_North_and_Central_America/USA_United_States_of_America/NE_Nebraska/USA_NE_Grand.Island-Central.Nebraska.Rgnl.AP.725520_US.Normals.1991-2020.zip")</f>
        <v>https://climate.onebuilding.org/WMO_Region_4_North_and_Central_America/USA_United_States_of_America/NE_Nebraska/USA_NE_Grand.Island-Central.Nebraska.Rgnl.AP.725520_US.Normals.1991-2020.zip</v>
      </c>
    </row>
    <row r="1187" spans="1:10" x14ac:dyDescent="0.25">
      <c r="A1187" t="s">
        <v>35</v>
      </c>
      <c r="B1187" t="s">
        <v>740</v>
      </c>
      <c r="C1187" t="s">
        <v>747</v>
      </c>
      <c r="D1187" s="2">
        <v>725520</v>
      </c>
      <c r="E1187" t="s">
        <v>13</v>
      </c>
      <c r="F1187">
        <v>40.961100000000002</v>
      </c>
      <c r="G1187">
        <v>-98.313599999999994</v>
      </c>
      <c r="H1187">
        <v>-7</v>
      </c>
      <c r="I1187">
        <v>560.79999999999995</v>
      </c>
      <c r="J1187" t="str">
        <f>HYPERLINK("https://climate.onebuilding.org/WMO_Region_4_North_and_Central_America/USA_United_States_of_America/NE_Nebraska/USA_NE_Grand.Island-Central.Nebraska.Rgnl.AP.725520_US.Normals.2006-2020.zip")</f>
        <v>https://climate.onebuilding.org/WMO_Region_4_North_and_Central_America/USA_United_States_of_America/NE_Nebraska/USA_NE_Grand.Island-Central.Nebraska.Rgnl.AP.725520_US.Normals.2006-2020.zip</v>
      </c>
    </row>
    <row r="1188" spans="1:10" x14ac:dyDescent="0.25">
      <c r="A1188" t="s">
        <v>35</v>
      </c>
      <c r="B1188" t="s">
        <v>740</v>
      </c>
      <c r="C1188" t="s">
        <v>748</v>
      </c>
      <c r="D1188" s="2">
        <v>744360</v>
      </c>
      <c r="E1188" t="s">
        <v>13</v>
      </c>
      <c r="F1188">
        <v>42.068100000000001</v>
      </c>
      <c r="G1188">
        <v>-101.44499999999999</v>
      </c>
      <c r="H1188">
        <v>-7</v>
      </c>
      <c r="I1188">
        <v>1140</v>
      </c>
      <c r="J1188" t="str">
        <f>HYPERLINK("https://climate.onebuilding.org/WMO_Region_4_North_and_Central_America/USA_United_States_of_America/NE_Nebraska/USA_NE_Gudmundsen.Sandhills.Laboratory-East.Site.744360_US.Normals.2006-2020.zip")</f>
        <v>https://climate.onebuilding.org/WMO_Region_4_North_and_Central_America/USA_United_States_of_America/NE_Nebraska/USA_NE_Gudmundsen.Sandhills.Laboratory-East.Site.744360_US.Normals.2006-2020.zip</v>
      </c>
    </row>
    <row r="1189" spans="1:10" x14ac:dyDescent="0.25">
      <c r="A1189" t="s">
        <v>35</v>
      </c>
      <c r="B1189" t="s">
        <v>740</v>
      </c>
      <c r="C1189" t="s">
        <v>749</v>
      </c>
      <c r="D1189" s="2">
        <v>744380</v>
      </c>
      <c r="E1189" t="s">
        <v>13</v>
      </c>
      <c r="F1189">
        <v>42.424700000000001</v>
      </c>
      <c r="G1189">
        <v>-103.7364</v>
      </c>
      <c r="H1189">
        <v>-7</v>
      </c>
      <c r="I1189">
        <v>1342.9</v>
      </c>
      <c r="J1189" t="str">
        <f>HYPERLINK("https://climate.onebuilding.org/WMO_Region_4_North_and_Central_America/USA_United_States_of_America/NE_Nebraska/USA_NE_Harrison-Agate.Fossil.Beds.Natl.Monument.744380_US.Normals.2006-2020.zip")</f>
        <v>https://climate.onebuilding.org/WMO_Region_4_North_and_Central_America/USA_United_States_of_America/NE_Nebraska/USA_NE_Harrison-Agate.Fossil.Beds.Natl.Monument.744380_US.Normals.2006-2020.zip</v>
      </c>
    </row>
    <row r="1190" spans="1:10" x14ac:dyDescent="0.25">
      <c r="A1190" t="s">
        <v>35</v>
      </c>
      <c r="B1190" t="s">
        <v>740</v>
      </c>
      <c r="C1190" t="s">
        <v>750</v>
      </c>
      <c r="D1190" s="2">
        <v>725525</v>
      </c>
      <c r="E1190" t="s">
        <v>13</v>
      </c>
      <c r="F1190">
        <v>40.604399999999998</v>
      </c>
      <c r="G1190">
        <v>-98.427199999999999</v>
      </c>
      <c r="H1190">
        <v>-7</v>
      </c>
      <c r="I1190">
        <v>591.29999999999995</v>
      </c>
      <c r="J1190" t="str">
        <f>HYPERLINK("https://climate.onebuilding.org/WMO_Region_4_North_and_Central_America/USA_United_States_of_America/NE_Nebraska/USA_NE_Hastings.Muni.AP.725525_US.Normals.1991-2020.zip")</f>
        <v>https://climate.onebuilding.org/WMO_Region_4_North_and_Central_America/USA_United_States_of_America/NE_Nebraska/USA_NE_Hastings.Muni.AP.725525_US.Normals.1991-2020.zip</v>
      </c>
    </row>
    <row r="1191" spans="1:10" x14ac:dyDescent="0.25">
      <c r="A1191" t="s">
        <v>35</v>
      </c>
      <c r="B1191" t="s">
        <v>740</v>
      </c>
      <c r="C1191" t="s">
        <v>750</v>
      </c>
      <c r="D1191" s="2">
        <v>725525</v>
      </c>
      <c r="E1191" t="s">
        <v>13</v>
      </c>
      <c r="F1191">
        <v>40.604399999999998</v>
      </c>
      <c r="G1191">
        <v>-98.427199999999999</v>
      </c>
      <c r="H1191">
        <v>-7</v>
      </c>
      <c r="I1191">
        <v>591.29999999999995</v>
      </c>
      <c r="J1191" t="str">
        <f>HYPERLINK("https://climate.onebuilding.org/WMO_Region_4_North_and_Central_America/USA_United_States_of_America/NE_Nebraska/USA_NE_Hastings.Muni.AP.725525_US.Normals.2006-2020.zip")</f>
        <v>https://climate.onebuilding.org/WMO_Region_4_North_and_Central_America/USA_United_States_of_America/NE_Nebraska/USA_NE_Hastings.Muni.AP.725525_US.Normals.2006-2020.zip</v>
      </c>
    </row>
    <row r="1192" spans="1:10" x14ac:dyDescent="0.25">
      <c r="A1192" t="s">
        <v>35</v>
      </c>
      <c r="B1192" t="s">
        <v>740</v>
      </c>
      <c r="C1192" t="s">
        <v>751</v>
      </c>
      <c r="D1192" s="2">
        <v>725626</v>
      </c>
      <c r="E1192" t="s">
        <v>13</v>
      </c>
      <c r="F1192">
        <v>40.51</v>
      </c>
      <c r="G1192">
        <v>-101.62</v>
      </c>
      <c r="H1192">
        <v>-7</v>
      </c>
      <c r="I1192">
        <v>996.1</v>
      </c>
      <c r="J1192" t="str">
        <f>HYPERLINK("https://climate.onebuilding.org/WMO_Region_4_North_and_Central_America/USA_United_States_of_America/NE_Nebraska/USA_NE_Imperial.Muni.AP.725626_US.Normals.2006-2020.zip")</f>
        <v>https://climate.onebuilding.org/WMO_Region_4_North_and_Central_America/USA_United_States_of_America/NE_Nebraska/USA_NE_Imperial.Muni.AP.725626_US.Normals.2006-2020.zip</v>
      </c>
    </row>
    <row r="1193" spans="1:10" x14ac:dyDescent="0.25">
      <c r="A1193" t="s">
        <v>35</v>
      </c>
      <c r="B1193" t="s">
        <v>740</v>
      </c>
      <c r="C1193" t="s">
        <v>752</v>
      </c>
      <c r="D1193" s="2">
        <v>725624</v>
      </c>
      <c r="E1193" t="s">
        <v>13</v>
      </c>
      <c r="F1193">
        <v>40.75</v>
      </c>
      <c r="G1193">
        <v>-99.616699999999994</v>
      </c>
      <c r="H1193">
        <v>-7</v>
      </c>
      <c r="I1193">
        <v>714.1</v>
      </c>
      <c r="J1193" t="str">
        <f>HYPERLINK("https://climate.onebuilding.org/WMO_Region_4_North_and_Central_America/USA_United_States_of_America/NE_Nebraska/USA_NE_Lexington-Kelly.Field.AP.725624_US.Normals.2006-2020.zip")</f>
        <v>https://climate.onebuilding.org/WMO_Region_4_North_and_Central_America/USA_United_States_of_America/NE_Nebraska/USA_NE_Lexington-Kelly.Field.AP.725624_US.Normals.2006-2020.zip</v>
      </c>
    </row>
    <row r="1194" spans="1:10" x14ac:dyDescent="0.25">
      <c r="A1194" t="s">
        <v>35</v>
      </c>
      <c r="B1194" t="s">
        <v>740</v>
      </c>
      <c r="C1194" t="s">
        <v>753</v>
      </c>
      <c r="D1194" s="2">
        <v>744420</v>
      </c>
      <c r="E1194" t="s">
        <v>13</v>
      </c>
      <c r="F1194">
        <v>40.848300000000002</v>
      </c>
      <c r="G1194">
        <v>-96.564999999999998</v>
      </c>
      <c r="H1194">
        <v>-6</v>
      </c>
      <c r="I1194">
        <v>362.4</v>
      </c>
      <c r="J1194" t="str">
        <f>HYPERLINK("https://climate.onebuilding.org/WMO_Region_4_North_and_Central_America/USA_United_States_of_America/NE_Nebraska/USA_NE_Lincoln-Lancaster.County.744420_US.Normals.2006-2020.zip")</f>
        <v>https://climate.onebuilding.org/WMO_Region_4_North_and_Central_America/USA_United_States_of_America/NE_Nebraska/USA_NE_Lincoln-Lancaster.County.744420_US.Normals.2006-2020.zip</v>
      </c>
    </row>
    <row r="1195" spans="1:10" x14ac:dyDescent="0.25">
      <c r="A1195" t="s">
        <v>35</v>
      </c>
      <c r="B1195" t="s">
        <v>740</v>
      </c>
      <c r="C1195" t="s">
        <v>754</v>
      </c>
      <c r="D1195" s="2">
        <v>725510</v>
      </c>
      <c r="E1195" t="s">
        <v>13</v>
      </c>
      <c r="F1195">
        <v>40.8508</v>
      </c>
      <c r="G1195">
        <v>-96.747500000000002</v>
      </c>
      <c r="H1195">
        <v>-6</v>
      </c>
      <c r="I1195">
        <v>362.7</v>
      </c>
      <c r="J1195" t="str">
        <f>HYPERLINK("https://climate.onebuilding.org/WMO_Region_4_North_and_Central_America/USA_United_States_of_America/NE_Nebraska/USA_NE_Lincoln.AP.725510_US.Normals.1981-2010.zip")</f>
        <v>https://climate.onebuilding.org/WMO_Region_4_North_and_Central_America/USA_United_States_of_America/NE_Nebraska/USA_NE_Lincoln.AP.725510_US.Normals.1981-2010.zip</v>
      </c>
    </row>
    <row r="1196" spans="1:10" x14ac:dyDescent="0.25">
      <c r="A1196" t="s">
        <v>35</v>
      </c>
      <c r="B1196" t="s">
        <v>740</v>
      </c>
      <c r="C1196" t="s">
        <v>754</v>
      </c>
      <c r="D1196" s="2">
        <v>725510</v>
      </c>
      <c r="E1196" t="s">
        <v>13</v>
      </c>
      <c r="F1196">
        <v>40.8508</v>
      </c>
      <c r="G1196">
        <v>-96.747500000000002</v>
      </c>
      <c r="H1196">
        <v>-6</v>
      </c>
      <c r="I1196">
        <v>362.7</v>
      </c>
      <c r="J1196" t="str">
        <f>HYPERLINK("https://climate.onebuilding.org/WMO_Region_4_North_and_Central_America/USA_United_States_of_America/NE_Nebraska/USA_NE_Lincoln.AP.725510_US.Normals.1991-2020.zip")</f>
        <v>https://climate.onebuilding.org/WMO_Region_4_North_and_Central_America/USA_United_States_of_America/NE_Nebraska/USA_NE_Lincoln.AP.725510_US.Normals.1991-2020.zip</v>
      </c>
    </row>
    <row r="1197" spans="1:10" x14ac:dyDescent="0.25">
      <c r="A1197" t="s">
        <v>35</v>
      </c>
      <c r="B1197" t="s">
        <v>740</v>
      </c>
      <c r="C1197" t="s">
        <v>754</v>
      </c>
      <c r="D1197" s="2">
        <v>725510</v>
      </c>
      <c r="E1197" t="s">
        <v>13</v>
      </c>
      <c r="F1197">
        <v>40.8508</v>
      </c>
      <c r="G1197">
        <v>-96.747500000000002</v>
      </c>
      <c r="H1197">
        <v>-6</v>
      </c>
      <c r="I1197">
        <v>362.7</v>
      </c>
      <c r="J1197" t="str">
        <f>HYPERLINK("https://climate.onebuilding.org/WMO_Region_4_North_and_Central_America/USA_United_States_of_America/NE_Nebraska/USA_NE_Lincoln.AP.725510_US.Normals.2006-2020.zip")</f>
        <v>https://climate.onebuilding.org/WMO_Region_4_North_and_Central_America/USA_United_States_of_America/NE_Nebraska/USA_NE_Lincoln.AP.725510_US.Normals.2006-2020.zip</v>
      </c>
    </row>
    <row r="1198" spans="1:10" x14ac:dyDescent="0.25">
      <c r="A1198" t="s">
        <v>35</v>
      </c>
      <c r="B1198" t="s">
        <v>740</v>
      </c>
      <c r="C1198" t="s">
        <v>755</v>
      </c>
      <c r="D1198" s="2">
        <v>725625</v>
      </c>
      <c r="E1198" t="s">
        <v>13</v>
      </c>
      <c r="F1198">
        <v>40.206400000000002</v>
      </c>
      <c r="G1198">
        <v>-100.59139999999999</v>
      </c>
      <c r="H1198">
        <v>-7</v>
      </c>
      <c r="I1198">
        <v>771.1</v>
      </c>
      <c r="J1198" t="str">
        <f>HYPERLINK("https://climate.onebuilding.org/WMO_Region_4_North_and_Central_America/USA_United_States_of_America/NE_Nebraska/USA_NE_McCook.Nelson.Rgnl.AP.725625_US.Normals.2006-2020.zip")</f>
        <v>https://climate.onebuilding.org/WMO_Region_4_North_and_Central_America/USA_United_States_of_America/NE_Nebraska/USA_NE_McCook.Nelson.Rgnl.AP.725625_US.Normals.2006-2020.zip</v>
      </c>
    </row>
    <row r="1199" spans="1:10" x14ac:dyDescent="0.25">
      <c r="A1199" t="s">
        <v>35</v>
      </c>
      <c r="B1199" t="s">
        <v>740</v>
      </c>
      <c r="C1199" t="s">
        <v>756</v>
      </c>
      <c r="D1199" s="2">
        <v>725560</v>
      </c>
      <c r="E1199" t="s">
        <v>13</v>
      </c>
      <c r="F1199">
        <v>41.985599999999998</v>
      </c>
      <c r="G1199">
        <v>-97.435299999999998</v>
      </c>
      <c r="H1199">
        <v>-6</v>
      </c>
      <c r="I1199">
        <v>472.7</v>
      </c>
      <c r="J1199" t="str">
        <f>HYPERLINK("https://climate.onebuilding.org/WMO_Region_4_North_and_Central_America/USA_United_States_of_America/NE_Nebraska/USA_NE_Norfolk.Rgnl.AP-Stefan.Meml.Field.725560_US.Normals.1981-2010.zip")</f>
        <v>https://climate.onebuilding.org/WMO_Region_4_North_and_Central_America/USA_United_States_of_America/NE_Nebraska/USA_NE_Norfolk.Rgnl.AP-Stefan.Meml.Field.725560_US.Normals.1981-2010.zip</v>
      </c>
    </row>
    <row r="1200" spans="1:10" x14ac:dyDescent="0.25">
      <c r="A1200" t="s">
        <v>35</v>
      </c>
      <c r="B1200" t="s">
        <v>740</v>
      </c>
      <c r="C1200" t="s">
        <v>756</v>
      </c>
      <c r="D1200" s="2">
        <v>725560</v>
      </c>
      <c r="E1200" t="s">
        <v>13</v>
      </c>
      <c r="F1200">
        <v>41.985599999999998</v>
      </c>
      <c r="G1200">
        <v>-97.435299999999998</v>
      </c>
      <c r="H1200">
        <v>-6</v>
      </c>
      <c r="I1200">
        <v>472.7</v>
      </c>
      <c r="J1200" t="str">
        <f>HYPERLINK("https://climate.onebuilding.org/WMO_Region_4_North_and_Central_America/USA_United_States_of_America/NE_Nebraska/USA_NE_Norfolk.Rgnl.AP-Stefan.Meml.Field.725560_US.Normals.1991-2020.zip")</f>
        <v>https://climate.onebuilding.org/WMO_Region_4_North_and_Central_America/USA_United_States_of_America/NE_Nebraska/USA_NE_Norfolk.Rgnl.AP-Stefan.Meml.Field.725560_US.Normals.1991-2020.zip</v>
      </c>
    </row>
    <row r="1201" spans="1:10" x14ac:dyDescent="0.25">
      <c r="A1201" t="s">
        <v>35</v>
      </c>
      <c r="B1201" t="s">
        <v>740</v>
      </c>
      <c r="C1201" t="s">
        <v>756</v>
      </c>
      <c r="D1201" s="2">
        <v>725560</v>
      </c>
      <c r="E1201" t="s">
        <v>13</v>
      </c>
      <c r="F1201">
        <v>41.985599999999998</v>
      </c>
      <c r="G1201">
        <v>-97.435299999999998</v>
      </c>
      <c r="H1201">
        <v>-6</v>
      </c>
      <c r="I1201">
        <v>472.7</v>
      </c>
      <c r="J1201" t="str">
        <f>HYPERLINK("https://climate.onebuilding.org/WMO_Region_4_North_and_Central_America/USA_United_States_of_America/NE_Nebraska/USA_NE_Norfolk.Rgnl.AP-Stefan.Meml.Field.725560_US.Normals.2006-2020.zip")</f>
        <v>https://climate.onebuilding.org/WMO_Region_4_North_and_Central_America/USA_United_States_of_America/NE_Nebraska/USA_NE_Norfolk.Rgnl.AP-Stefan.Meml.Field.725560_US.Normals.2006-2020.zip</v>
      </c>
    </row>
    <row r="1202" spans="1:10" x14ac:dyDescent="0.25">
      <c r="A1202" t="s">
        <v>35</v>
      </c>
      <c r="B1202" t="s">
        <v>740</v>
      </c>
      <c r="C1202" t="s">
        <v>757</v>
      </c>
      <c r="D1202" s="2">
        <v>725620</v>
      </c>
      <c r="E1202" t="s">
        <v>13</v>
      </c>
      <c r="F1202">
        <v>41.121400000000001</v>
      </c>
      <c r="G1202">
        <v>-100.6694</v>
      </c>
      <c r="H1202">
        <v>-7</v>
      </c>
      <c r="I1202">
        <v>846.7</v>
      </c>
      <c r="J1202" t="str">
        <f>HYPERLINK("https://climate.onebuilding.org/WMO_Region_4_North_and_Central_America/USA_United_States_of_America/NE_Nebraska/USA_NE_North.Platte.Rgnl.AP-Bird.Field.725620_US.Normals.1981-2010.zip")</f>
        <v>https://climate.onebuilding.org/WMO_Region_4_North_and_Central_America/USA_United_States_of_America/NE_Nebraska/USA_NE_North.Platte.Rgnl.AP-Bird.Field.725620_US.Normals.1981-2010.zip</v>
      </c>
    </row>
    <row r="1203" spans="1:10" x14ac:dyDescent="0.25">
      <c r="A1203" t="s">
        <v>35</v>
      </c>
      <c r="B1203" t="s">
        <v>740</v>
      </c>
      <c r="C1203" t="s">
        <v>757</v>
      </c>
      <c r="D1203" s="2">
        <v>725620</v>
      </c>
      <c r="E1203" t="s">
        <v>13</v>
      </c>
      <c r="F1203">
        <v>41.121400000000001</v>
      </c>
      <c r="G1203">
        <v>-100.6694</v>
      </c>
      <c r="H1203">
        <v>-7</v>
      </c>
      <c r="I1203">
        <v>846.7</v>
      </c>
      <c r="J1203" t="str">
        <f>HYPERLINK("https://climate.onebuilding.org/WMO_Region_4_North_and_Central_America/USA_United_States_of_America/NE_Nebraska/USA_NE_North.Platte.Rgnl.AP-Bird.Field.725620_US.Normals.1991-2020.zip")</f>
        <v>https://climate.onebuilding.org/WMO_Region_4_North_and_Central_America/USA_United_States_of_America/NE_Nebraska/USA_NE_North.Platte.Rgnl.AP-Bird.Field.725620_US.Normals.1991-2020.zip</v>
      </c>
    </row>
    <row r="1204" spans="1:10" x14ac:dyDescent="0.25">
      <c r="A1204" t="s">
        <v>35</v>
      </c>
      <c r="B1204" t="s">
        <v>740</v>
      </c>
      <c r="C1204" t="s">
        <v>757</v>
      </c>
      <c r="D1204" s="2">
        <v>725620</v>
      </c>
      <c r="E1204" t="s">
        <v>13</v>
      </c>
      <c r="F1204">
        <v>41.121400000000001</v>
      </c>
      <c r="G1204">
        <v>-100.6694</v>
      </c>
      <c r="H1204">
        <v>-7</v>
      </c>
      <c r="I1204">
        <v>846.7</v>
      </c>
      <c r="J1204" t="str">
        <f>HYPERLINK("https://climate.onebuilding.org/WMO_Region_4_North_and_Central_America/USA_United_States_of_America/NE_Nebraska/USA_NE_North.Platte.Rgnl.AP-Bird.Field.725620_US.Normals.2006-2020.zip")</f>
        <v>https://climate.onebuilding.org/WMO_Region_4_North_and_Central_America/USA_United_States_of_America/NE_Nebraska/USA_NE_North.Platte.Rgnl.AP-Bird.Field.725620_US.Normals.2006-2020.zip</v>
      </c>
    </row>
    <row r="1205" spans="1:10" x14ac:dyDescent="0.25">
      <c r="A1205" t="s">
        <v>35</v>
      </c>
      <c r="B1205" t="s">
        <v>740</v>
      </c>
      <c r="C1205" t="s">
        <v>758</v>
      </c>
      <c r="D1205" s="2">
        <v>725500</v>
      </c>
      <c r="E1205" t="s">
        <v>13</v>
      </c>
      <c r="F1205">
        <v>41.310299999999998</v>
      </c>
      <c r="G1205">
        <v>-95.899199999999993</v>
      </c>
      <c r="H1205">
        <v>-6</v>
      </c>
      <c r="I1205">
        <v>299.3</v>
      </c>
      <c r="J1205" t="str">
        <f>HYPERLINK("https://climate.onebuilding.org/WMO_Region_4_North_and_Central_America/USA_United_States_of_America/NE_Nebraska/USA_NE_Omaha-Eppley.AF.Intl.AP.725500_US.Normals.1981-2010.zip")</f>
        <v>https://climate.onebuilding.org/WMO_Region_4_North_and_Central_America/USA_United_States_of_America/NE_Nebraska/USA_NE_Omaha-Eppley.AF.Intl.AP.725500_US.Normals.1981-2010.zip</v>
      </c>
    </row>
    <row r="1206" spans="1:10" x14ac:dyDescent="0.25">
      <c r="A1206" t="s">
        <v>35</v>
      </c>
      <c r="B1206" t="s">
        <v>740</v>
      </c>
      <c r="C1206" t="s">
        <v>758</v>
      </c>
      <c r="D1206" s="2">
        <v>725500</v>
      </c>
      <c r="E1206" t="s">
        <v>13</v>
      </c>
      <c r="F1206">
        <v>41.310299999999998</v>
      </c>
      <c r="G1206">
        <v>-95.899199999999993</v>
      </c>
      <c r="H1206">
        <v>-6</v>
      </c>
      <c r="I1206">
        <v>299.3</v>
      </c>
      <c r="J1206" t="str">
        <f>HYPERLINK("https://climate.onebuilding.org/WMO_Region_4_North_and_Central_America/USA_United_States_of_America/NE_Nebraska/USA_NE_Omaha-Eppley.AF.Intl.AP.725500_US.Normals.1991-2020.zip")</f>
        <v>https://climate.onebuilding.org/WMO_Region_4_North_and_Central_America/USA_United_States_of_America/NE_Nebraska/USA_NE_Omaha-Eppley.AF.Intl.AP.725500_US.Normals.1991-2020.zip</v>
      </c>
    </row>
    <row r="1207" spans="1:10" x14ac:dyDescent="0.25">
      <c r="A1207" t="s">
        <v>35</v>
      </c>
      <c r="B1207" t="s">
        <v>740</v>
      </c>
      <c r="C1207" t="s">
        <v>758</v>
      </c>
      <c r="D1207" s="2">
        <v>725500</v>
      </c>
      <c r="E1207" t="s">
        <v>13</v>
      </c>
      <c r="F1207">
        <v>41.310299999999998</v>
      </c>
      <c r="G1207">
        <v>-95.899199999999993</v>
      </c>
      <c r="H1207">
        <v>-6</v>
      </c>
      <c r="I1207">
        <v>299.3</v>
      </c>
      <c r="J1207" t="str">
        <f>HYPERLINK("https://climate.onebuilding.org/WMO_Region_4_North_and_Central_America/USA_United_States_of_America/NE_Nebraska/USA_NE_Omaha-Eppley.AF.Intl.AP.725500_US.Normals.2006-2020.zip")</f>
        <v>https://climate.onebuilding.org/WMO_Region_4_North_and_Central_America/USA_United_States_of_America/NE_Nebraska/USA_NE_Omaha-Eppley.AF.Intl.AP.725500_US.Normals.2006-2020.zip</v>
      </c>
    </row>
    <row r="1208" spans="1:10" x14ac:dyDescent="0.25">
      <c r="A1208" t="s">
        <v>35</v>
      </c>
      <c r="B1208" t="s">
        <v>740</v>
      </c>
      <c r="C1208" t="s">
        <v>759</v>
      </c>
      <c r="D1208" s="2">
        <v>725524</v>
      </c>
      <c r="E1208" t="s">
        <v>13</v>
      </c>
      <c r="F1208">
        <v>41.623600000000003</v>
      </c>
      <c r="G1208">
        <v>-98.951700000000002</v>
      </c>
      <c r="H1208">
        <v>-7</v>
      </c>
      <c r="I1208">
        <v>630.6</v>
      </c>
      <c r="J1208" t="str">
        <f>HYPERLINK("https://climate.onebuilding.org/WMO_Region_4_North_and_Central_America/USA_United_States_of_America/NE_Nebraska/USA_NE_Ord-Sharp.Field.AP.725524_US.Normals.2006-2020.zip")</f>
        <v>https://climate.onebuilding.org/WMO_Region_4_North_and_Central_America/USA_United_States_of_America/NE_Nebraska/USA_NE_Ord-Sharp.Field.AP.725524_US.Normals.2006-2020.zip</v>
      </c>
    </row>
    <row r="1209" spans="1:10" x14ac:dyDescent="0.25">
      <c r="A1209" t="s">
        <v>35</v>
      </c>
      <c r="B1209" t="s">
        <v>740</v>
      </c>
      <c r="C1209" t="s">
        <v>760</v>
      </c>
      <c r="D1209" s="2">
        <v>725660</v>
      </c>
      <c r="E1209" t="s">
        <v>13</v>
      </c>
      <c r="F1209">
        <v>41.870600000000003</v>
      </c>
      <c r="G1209">
        <v>-103.59310000000001</v>
      </c>
      <c r="H1209">
        <v>-7</v>
      </c>
      <c r="I1209">
        <v>1202.4000000000001</v>
      </c>
      <c r="J1209" t="str">
        <f>HYPERLINK("https://climate.onebuilding.org/WMO_Region_4_North_and_Central_America/USA_United_States_of_America/NE_Nebraska/USA_NE_Scottsbluff-Western.Nebraska.Rgnl.AP-Heilig.Field.725660_US.Normals.1981-2010.zip")</f>
        <v>https://climate.onebuilding.org/WMO_Region_4_North_and_Central_America/USA_United_States_of_America/NE_Nebraska/USA_NE_Scottsbluff-Western.Nebraska.Rgnl.AP-Heilig.Field.725660_US.Normals.1981-2010.zip</v>
      </c>
    </row>
    <row r="1210" spans="1:10" x14ac:dyDescent="0.25">
      <c r="A1210" t="s">
        <v>35</v>
      </c>
      <c r="B1210" t="s">
        <v>740</v>
      </c>
      <c r="C1210" t="s">
        <v>760</v>
      </c>
      <c r="D1210" s="2">
        <v>725660</v>
      </c>
      <c r="E1210" t="s">
        <v>13</v>
      </c>
      <c r="F1210">
        <v>41.870600000000003</v>
      </c>
      <c r="G1210">
        <v>-103.59310000000001</v>
      </c>
      <c r="H1210">
        <v>-7</v>
      </c>
      <c r="I1210">
        <v>1202.4000000000001</v>
      </c>
      <c r="J1210" t="str">
        <f>HYPERLINK("https://climate.onebuilding.org/WMO_Region_4_North_and_Central_America/USA_United_States_of_America/NE_Nebraska/USA_NE_Scottsbluff-Western.Nebraska.Rgnl.AP-Heilig.Field.725660_US.Normals.1991-2020.zip")</f>
        <v>https://climate.onebuilding.org/WMO_Region_4_North_and_Central_America/USA_United_States_of_America/NE_Nebraska/USA_NE_Scottsbluff-Western.Nebraska.Rgnl.AP-Heilig.Field.725660_US.Normals.1991-2020.zip</v>
      </c>
    </row>
    <row r="1211" spans="1:10" x14ac:dyDescent="0.25">
      <c r="A1211" t="s">
        <v>35</v>
      </c>
      <c r="B1211" t="s">
        <v>740</v>
      </c>
      <c r="C1211" t="s">
        <v>760</v>
      </c>
      <c r="D1211" s="2">
        <v>725660</v>
      </c>
      <c r="E1211" t="s">
        <v>13</v>
      </c>
      <c r="F1211">
        <v>41.870600000000003</v>
      </c>
      <c r="G1211">
        <v>-103.59310000000001</v>
      </c>
      <c r="H1211">
        <v>-7</v>
      </c>
      <c r="I1211">
        <v>1202.4000000000001</v>
      </c>
      <c r="J1211" t="str">
        <f>HYPERLINK("https://climate.onebuilding.org/WMO_Region_4_North_and_Central_America/USA_United_States_of_America/NE_Nebraska/USA_NE_Scottsbluff-Western.Nebraska.Rgnl.AP-Heilig.Field.725660_US.Normals.2006-2020.zip")</f>
        <v>https://climate.onebuilding.org/WMO_Region_4_North_and_Central_America/USA_United_States_of_America/NE_Nebraska/USA_NE_Scottsbluff-Western.Nebraska.Rgnl.AP-Heilig.Field.725660_US.Normals.2006-2020.zip</v>
      </c>
    </row>
    <row r="1212" spans="1:10" x14ac:dyDescent="0.25">
      <c r="A1212" t="s">
        <v>35</v>
      </c>
      <c r="B1212" t="s">
        <v>740</v>
      </c>
      <c r="C1212" t="s">
        <v>761</v>
      </c>
      <c r="D1212" s="2">
        <v>725610</v>
      </c>
      <c r="E1212" t="s">
        <v>13</v>
      </c>
      <c r="F1212">
        <v>41.101399999999998</v>
      </c>
      <c r="G1212">
        <v>-102.9847</v>
      </c>
      <c r="H1212">
        <v>-7</v>
      </c>
      <c r="I1212">
        <v>1313.4</v>
      </c>
      <c r="J1212" t="str">
        <f>HYPERLINK("https://climate.onebuilding.org/WMO_Region_4_North_and_Central_America/USA_United_States_of_America/NE_Nebraska/USA_NE_Sidney.Muni.AP-Carr.Field.725610_US.Normals.1991-2020.zip")</f>
        <v>https://climate.onebuilding.org/WMO_Region_4_North_and_Central_America/USA_United_States_of_America/NE_Nebraska/USA_NE_Sidney.Muni.AP-Carr.Field.725610_US.Normals.1991-2020.zip</v>
      </c>
    </row>
    <row r="1213" spans="1:10" x14ac:dyDescent="0.25">
      <c r="A1213" t="s">
        <v>35</v>
      </c>
      <c r="B1213" t="s">
        <v>740</v>
      </c>
      <c r="C1213" t="s">
        <v>761</v>
      </c>
      <c r="D1213" s="2">
        <v>725610</v>
      </c>
      <c r="E1213" t="s">
        <v>13</v>
      </c>
      <c r="F1213">
        <v>41.101399999999998</v>
      </c>
      <c r="G1213">
        <v>-102.9847</v>
      </c>
      <c r="H1213">
        <v>-7</v>
      </c>
      <c r="I1213">
        <v>1313.4</v>
      </c>
      <c r="J1213" t="str">
        <f>HYPERLINK("https://climate.onebuilding.org/WMO_Region_4_North_and_Central_America/USA_United_States_of_America/NE_Nebraska/USA_NE_Sidney.Muni.AP-Carr.Field.725610_US.Normals.2006-2020.zip")</f>
        <v>https://climate.onebuilding.org/WMO_Region_4_North_and_Central_America/USA_United_States_of_America/NE_Nebraska/USA_NE_Sidney.Muni.AP-Carr.Field.725610_US.Normals.2006-2020.zip</v>
      </c>
    </row>
    <row r="1214" spans="1:10" x14ac:dyDescent="0.25">
      <c r="A1214" t="s">
        <v>35</v>
      </c>
      <c r="B1214" t="s">
        <v>740</v>
      </c>
      <c r="C1214" t="s">
        <v>762</v>
      </c>
      <c r="D1214" s="2">
        <v>725527</v>
      </c>
      <c r="E1214" t="s">
        <v>13</v>
      </c>
      <c r="F1214">
        <v>41.763599999999997</v>
      </c>
      <c r="G1214">
        <v>-96.177800000000005</v>
      </c>
      <c r="H1214">
        <v>-6</v>
      </c>
      <c r="I1214">
        <v>313.3</v>
      </c>
      <c r="J1214" t="str">
        <f>HYPERLINK("https://climate.onebuilding.org/WMO_Region_4_North_and_Central_America/USA_United_States_of_America/NE_Nebraska/USA_NE_Tekamah.Muni.AP.725527_US.Normals.2006-2020.zip")</f>
        <v>https://climate.onebuilding.org/WMO_Region_4_North_and_Central_America/USA_United_States_of_America/NE_Nebraska/USA_NE_Tekamah.Muni.AP.725527_US.Normals.2006-2020.zip</v>
      </c>
    </row>
    <row r="1215" spans="1:10" x14ac:dyDescent="0.25">
      <c r="A1215" t="s">
        <v>35</v>
      </c>
      <c r="B1215" t="s">
        <v>740</v>
      </c>
      <c r="C1215" t="s">
        <v>763</v>
      </c>
      <c r="D1215" s="2">
        <v>725670</v>
      </c>
      <c r="E1215" t="s">
        <v>13</v>
      </c>
      <c r="F1215">
        <v>42.878300000000003</v>
      </c>
      <c r="G1215">
        <v>-100.55</v>
      </c>
      <c r="H1215">
        <v>-7</v>
      </c>
      <c r="I1215">
        <v>789.4</v>
      </c>
      <c r="J1215" t="str">
        <f>HYPERLINK("https://climate.onebuilding.org/WMO_Region_4_North_and_Central_America/USA_United_States_of_America/NE_Nebraska/USA_NE_Valentine-Miller.Field.AP.725670_US.Normals.1981-2010.zip")</f>
        <v>https://climate.onebuilding.org/WMO_Region_4_North_and_Central_America/USA_United_States_of_America/NE_Nebraska/USA_NE_Valentine-Miller.Field.AP.725670_US.Normals.1981-2010.zip</v>
      </c>
    </row>
    <row r="1216" spans="1:10" x14ac:dyDescent="0.25">
      <c r="A1216" t="s">
        <v>35</v>
      </c>
      <c r="B1216" t="s">
        <v>740</v>
      </c>
      <c r="C1216" t="s">
        <v>763</v>
      </c>
      <c r="D1216" s="2">
        <v>725670</v>
      </c>
      <c r="E1216" t="s">
        <v>13</v>
      </c>
      <c r="F1216">
        <v>42.878300000000003</v>
      </c>
      <c r="G1216">
        <v>-100.55</v>
      </c>
      <c r="H1216">
        <v>-7</v>
      </c>
      <c r="I1216">
        <v>789.4</v>
      </c>
      <c r="J1216" t="str">
        <f>HYPERLINK("https://climate.onebuilding.org/WMO_Region_4_North_and_Central_America/USA_United_States_of_America/NE_Nebraska/USA_NE_Valentine-Miller.Field.AP.725670_US.Normals.1991-2020.zip")</f>
        <v>https://climate.onebuilding.org/WMO_Region_4_North_and_Central_America/USA_United_States_of_America/NE_Nebraska/USA_NE_Valentine-Miller.Field.AP.725670_US.Normals.1991-2020.zip</v>
      </c>
    </row>
    <row r="1217" spans="1:10" x14ac:dyDescent="0.25">
      <c r="A1217" t="s">
        <v>35</v>
      </c>
      <c r="B1217" t="s">
        <v>740</v>
      </c>
      <c r="C1217" t="s">
        <v>763</v>
      </c>
      <c r="D1217" s="2">
        <v>725670</v>
      </c>
      <c r="E1217" t="s">
        <v>13</v>
      </c>
      <c r="F1217">
        <v>42.878300000000003</v>
      </c>
      <c r="G1217">
        <v>-100.55</v>
      </c>
      <c r="H1217">
        <v>-7</v>
      </c>
      <c r="I1217">
        <v>789.4</v>
      </c>
      <c r="J1217" t="str">
        <f>HYPERLINK("https://climate.onebuilding.org/WMO_Region_4_North_and_Central_America/USA_United_States_of_America/NE_Nebraska/USA_NE_Valentine-Miller.Field.AP.725670_US.Normals.2006-2020.zip")</f>
        <v>https://climate.onebuilding.org/WMO_Region_4_North_and_Central_America/USA_United_States_of_America/NE_Nebraska/USA_NE_Valentine-Miller.Field.AP.725670_US.Normals.2006-2020.zip</v>
      </c>
    </row>
    <row r="1218" spans="1:10" x14ac:dyDescent="0.25">
      <c r="A1218" t="s">
        <v>35</v>
      </c>
      <c r="B1218" t="s">
        <v>764</v>
      </c>
      <c r="C1218" t="s">
        <v>765</v>
      </c>
      <c r="D1218" s="2">
        <v>726160</v>
      </c>
      <c r="E1218" t="s">
        <v>13</v>
      </c>
      <c r="F1218">
        <v>44.576099999999997</v>
      </c>
      <c r="G1218">
        <v>-71.178600000000003</v>
      </c>
      <c r="H1218">
        <v>-5</v>
      </c>
      <c r="I1218">
        <v>353</v>
      </c>
      <c r="J1218" t="str">
        <f>HYPERLINK("https://climate.onebuilding.org/WMO_Region_4_North_and_Central_America/USA_United_States_of_America/NH_New_Hampshire/USA_NH_Berlin.Rgnl.AP.726160_US.Normals.2006-2020.zip")</f>
        <v>https://climate.onebuilding.org/WMO_Region_4_North_and_Central_America/USA_United_States_of_America/NH_New_Hampshire/USA_NH_Berlin.Rgnl.AP.726160_US.Normals.2006-2020.zip</v>
      </c>
    </row>
    <row r="1219" spans="1:10" x14ac:dyDescent="0.25">
      <c r="A1219" t="s">
        <v>35</v>
      </c>
      <c r="B1219" t="s">
        <v>764</v>
      </c>
      <c r="C1219" t="s">
        <v>766</v>
      </c>
      <c r="D1219" s="2">
        <v>726050</v>
      </c>
      <c r="E1219" t="s">
        <v>13</v>
      </c>
      <c r="F1219">
        <v>43.195300000000003</v>
      </c>
      <c r="G1219">
        <v>-71.501099999999994</v>
      </c>
      <c r="H1219">
        <v>-5</v>
      </c>
      <c r="I1219">
        <v>105.5</v>
      </c>
      <c r="J1219" t="str">
        <f>HYPERLINK("https://climate.onebuilding.org/WMO_Region_4_North_and_Central_America/USA_United_States_of_America/NH_New_Hampshire/USA_NH_Concord.Muni.AP.726050_US.Normals.1981-2010.zip")</f>
        <v>https://climate.onebuilding.org/WMO_Region_4_North_and_Central_America/USA_United_States_of_America/NH_New_Hampshire/USA_NH_Concord.Muni.AP.726050_US.Normals.1981-2010.zip</v>
      </c>
    </row>
    <row r="1220" spans="1:10" x14ac:dyDescent="0.25">
      <c r="A1220" t="s">
        <v>35</v>
      </c>
      <c r="B1220" t="s">
        <v>764</v>
      </c>
      <c r="C1220" t="s">
        <v>766</v>
      </c>
      <c r="D1220" s="2">
        <v>726050</v>
      </c>
      <c r="E1220" t="s">
        <v>13</v>
      </c>
      <c r="F1220">
        <v>43.195300000000003</v>
      </c>
      <c r="G1220">
        <v>-71.501099999999994</v>
      </c>
      <c r="H1220">
        <v>-5</v>
      </c>
      <c r="I1220">
        <v>105.5</v>
      </c>
      <c r="J1220" t="str">
        <f>HYPERLINK("https://climate.onebuilding.org/WMO_Region_4_North_and_Central_America/USA_United_States_of_America/NH_New_Hampshire/USA_NH_Concord.Muni.AP.726050_US.Normals.1991-2020.zip")</f>
        <v>https://climate.onebuilding.org/WMO_Region_4_North_and_Central_America/USA_United_States_of_America/NH_New_Hampshire/USA_NH_Concord.Muni.AP.726050_US.Normals.1991-2020.zip</v>
      </c>
    </row>
    <row r="1221" spans="1:10" x14ac:dyDescent="0.25">
      <c r="A1221" t="s">
        <v>35</v>
      </c>
      <c r="B1221" t="s">
        <v>764</v>
      </c>
      <c r="C1221" t="s">
        <v>766</v>
      </c>
      <c r="D1221" s="2">
        <v>726050</v>
      </c>
      <c r="E1221" t="s">
        <v>13</v>
      </c>
      <c r="F1221">
        <v>43.195300000000003</v>
      </c>
      <c r="G1221">
        <v>-71.501099999999994</v>
      </c>
      <c r="H1221">
        <v>-5</v>
      </c>
      <c r="I1221">
        <v>105.5</v>
      </c>
      <c r="J1221" t="str">
        <f>HYPERLINK("https://climate.onebuilding.org/WMO_Region_4_North_and_Central_America/USA_United_States_of_America/NH_New_Hampshire/USA_NH_Concord.Muni.AP.726050_US.Normals.2006-2020.zip")</f>
        <v>https://climate.onebuilding.org/WMO_Region_4_North_and_Central_America/USA_United_States_of_America/NH_New_Hampshire/USA_NH_Concord.Muni.AP.726050_US.Normals.2006-2020.zip</v>
      </c>
    </row>
    <row r="1222" spans="1:10" x14ac:dyDescent="0.25">
      <c r="A1222" t="s">
        <v>35</v>
      </c>
      <c r="B1222" t="s">
        <v>764</v>
      </c>
      <c r="C1222" t="s">
        <v>767</v>
      </c>
      <c r="D1222" s="2">
        <v>726100</v>
      </c>
      <c r="E1222" t="s">
        <v>13</v>
      </c>
      <c r="F1222">
        <v>43.109200000000001</v>
      </c>
      <c r="G1222">
        <v>-70.948300000000003</v>
      </c>
      <c r="H1222">
        <v>-5</v>
      </c>
      <c r="I1222">
        <v>19.2</v>
      </c>
      <c r="J1222" t="str">
        <f>HYPERLINK("https://climate.onebuilding.org/WMO_Region_4_North_and_Central_America/USA_United_States_of_America/NH_New_Hampshire/USA_NH_Durham-Doe.Farm.726100_US.Normals.2006-2020.zip")</f>
        <v>https://climate.onebuilding.org/WMO_Region_4_North_and_Central_America/USA_United_States_of_America/NH_New_Hampshire/USA_NH_Durham-Doe.Farm.726100_US.Normals.2006-2020.zip</v>
      </c>
    </row>
    <row r="1223" spans="1:10" x14ac:dyDescent="0.25">
      <c r="A1223" t="s">
        <v>35</v>
      </c>
      <c r="B1223" t="s">
        <v>764</v>
      </c>
      <c r="C1223" t="s">
        <v>768</v>
      </c>
      <c r="D1223" s="2">
        <v>726163</v>
      </c>
      <c r="E1223" t="s">
        <v>13</v>
      </c>
      <c r="F1223">
        <v>42.805</v>
      </c>
      <c r="G1223">
        <v>-72.003600000000006</v>
      </c>
      <c r="H1223">
        <v>-5</v>
      </c>
      <c r="I1223">
        <v>317</v>
      </c>
      <c r="J1223" t="str">
        <f>HYPERLINK("https://climate.onebuilding.org/WMO_Region_4_North_and_Central_America/USA_United_States_of_America/NH_New_Hampshire/USA_NH_Jaffrey.AP-Silver.Ranch.726163_US.Normals.2006-2020.zip")</f>
        <v>https://climate.onebuilding.org/WMO_Region_4_North_and_Central_America/USA_United_States_of_America/NH_New_Hampshire/USA_NH_Jaffrey.AP-Silver.Ranch.726163_US.Normals.2006-2020.zip</v>
      </c>
    </row>
    <row r="1224" spans="1:10" x14ac:dyDescent="0.25">
      <c r="A1224" t="s">
        <v>35</v>
      </c>
      <c r="B1224" t="s">
        <v>764</v>
      </c>
      <c r="C1224" t="s">
        <v>769</v>
      </c>
      <c r="D1224" s="2">
        <v>726116</v>
      </c>
      <c r="E1224" t="s">
        <v>13</v>
      </c>
      <c r="F1224">
        <v>43.626399999999997</v>
      </c>
      <c r="G1224">
        <v>-72.304699999999997</v>
      </c>
      <c r="H1224">
        <v>-5</v>
      </c>
      <c r="I1224">
        <v>182.3</v>
      </c>
      <c r="J1224" t="str">
        <f>HYPERLINK("https://climate.onebuilding.org/WMO_Region_4_North_and_Central_America/USA_United_States_of_America/NH_New_Hampshire/USA_NH_Lebanon.Muni.AP.726116_US.Normals.2006-2020.zip")</f>
        <v>https://climate.onebuilding.org/WMO_Region_4_North_and_Central_America/USA_United_States_of_America/NH_New_Hampshire/USA_NH_Lebanon.Muni.AP.726116_US.Normals.2006-2020.zip</v>
      </c>
    </row>
    <row r="1225" spans="1:10" x14ac:dyDescent="0.25">
      <c r="A1225" t="s">
        <v>35</v>
      </c>
      <c r="B1225" t="s">
        <v>764</v>
      </c>
      <c r="C1225" t="s">
        <v>770</v>
      </c>
      <c r="D1225" s="2">
        <v>726090</v>
      </c>
      <c r="E1225" t="s">
        <v>13</v>
      </c>
      <c r="F1225">
        <v>43.171700000000001</v>
      </c>
      <c r="G1225">
        <v>-70.927800000000005</v>
      </c>
      <c r="H1225">
        <v>-5</v>
      </c>
      <c r="I1225">
        <v>36.299999999999997</v>
      </c>
      <c r="J1225" t="str">
        <f>HYPERLINK("https://climate.onebuilding.org/WMO_Region_4_North_and_Central_America/USA_United_States_of_America/NH_New_Hampshire/USA_NH_Madbury.726090_US.Normals.2006-2020.zip")</f>
        <v>https://climate.onebuilding.org/WMO_Region_4_North_and_Central_America/USA_United_States_of_America/NH_New_Hampshire/USA_NH_Madbury.726090_US.Normals.2006-2020.zip</v>
      </c>
    </row>
    <row r="1226" spans="1:10" x14ac:dyDescent="0.25">
      <c r="A1226" t="s">
        <v>35</v>
      </c>
      <c r="B1226" t="s">
        <v>764</v>
      </c>
      <c r="C1226" t="s">
        <v>771</v>
      </c>
      <c r="D1226" s="2">
        <v>743945</v>
      </c>
      <c r="E1226" t="s">
        <v>13</v>
      </c>
      <c r="F1226">
        <v>42.933300000000003</v>
      </c>
      <c r="G1226">
        <v>-71.438299999999998</v>
      </c>
      <c r="H1226">
        <v>-5</v>
      </c>
      <c r="I1226">
        <v>68.599999999999994</v>
      </c>
      <c r="J1226" t="str">
        <f>HYPERLINK("https://climate.onebuilding.org/WMO_Region_4_North_and_Central_America/USA_United_States_of_America/NH_New_Hampshire/USA_NH_Manchester-Boston.Rgnl.AP.743945_US.Normals.1991-2020.zip")</f>
        <v>https://climate.onebuilding.org/WMO_Region_4_North_and_Central_America/USA_United_States_of_America/NH_New_Hampshire/USA_NH_Manchester-Boston.Rgnl.AP.743945_US.Normals.1991-2020.zip</v>
      </c>
    </row>
    <row r="1227" spans="1:10" x14ac:dyDescent="0.25">
      <c r="A1227" t="s">
        <v>35</v>
      </c>
      <c r="B1227" t="s">
        <v>764</v>
      </c>
      <c r="C1227" t="s">
        <v>771</v>
      </c>
      <c r="D1227" s="2">
        <v>743945</v>
      </c>
      <c r="E1227" t="s">
        <v>13</v>
      </c>
      <c r="F1227">
        <v>42.933300000000003</v>
      </c>
      <c r="G1227">
        <v>-71.438299999999998</v>
      </c>
      <c r="H1227">
        <v>-5</v>
      </c>
      <c r="I1227">
        <v>68.599999999999994</v>
      </c>
      <c r="J1227" t="str">
        <f>HYPERLINK("https://climate.onebuilding.org/WMO_Region_4_North_and_Central_America/USA_United_States_of_America/NH_New_Hampshire/USA_NH_Manchester-Boston.Rgnl.AP.743945_US.Normals.2006-2020.zip")</f>
        <v>https://climate.onebuilding.org/WMO_Region_4_North_and_Central_America/USA_United_States_of_America/NH_New_Hampshire/USA_NH_Manchester-Boston.Rgnl.AP.743945_US.Normals.2006-2020.zip</v>
      </c>
    </row>
    <row r="1228" spans="1:10" x14ac:dyDescent="0.25">
      <c r="A1228" t="s">
        <v>35</v>
      </c>
      <c r="B1228" t="s">
        <v>764</v>
      </c>
      <c r="C1228" t="s">
        <v>772</v>
      </c>
      <c r="D1228" s="2">
        <v>726164</v>
      </c>
      <c r="E1228" t="s">
        <v>13</v>
      </c>
      <c r="F1228">
        <v>44.3675</v>
      </c>
      <c r="G1228">
        <v>-71.545000000000002</v>
      </c>
      <c r="H1228">
        <v>-5</v>
      </c>
      <c r="I1228">
        <v>327.39999999999998</v>
      </c>
      <c r="J1228" t="str">
        <f>HYPERLINK("https://climate.onebuilding.org/WMO_Region_4_North_and_Central_America/USA_United_States_of_America/NH_New_Hampshire/USA_NH_Mt.Washington.Rgnl.AP.726164_US.Normals.2006-2020.zip")</f>
        <v>https://climate.onebuilding.org/WMO_Region_4_North_and_Central_America/USA_United_States_of_America/NH_New_Hampshire/USA_NH_Mt.Washington.Rgnl.AP.726164_US.Normals.2006-2020.zip</v>
      </c>
    </row>
    <row r="1229" spans="1:10" x14ac:dyDescent="0.25">
      <c r="A1229" t="s">
        <v>35</v>
      </c>
      <c r="B1229" t="s">
        <v>764</v>
      </c>
      <c r="C1229" t="s">
        <v>773</v>
      </c>
      <c r="D1229" s="2">
        <v>726055</v>
      </c>
      <c r="E1229" t="s">
        <v>13</v>
      </c>
      <c r="F1229">
        <v>43.083300000000001</v>
      </c>
      <c r="G1229">
        <v>-70.816699999999997</v>
      </c>
      <c r="H1229">
        <v>-5</v>
      </c>
      <c r="I1229">
        <v>39</v>
      </c>
      <c r="J1229" t="str">
        <f>HYPERLINK("https://climate.onebuilding.org/WMO_Region_4_North_and_Central_America/USA_United_States_of_America/NH_New_Hampshire/USA_NH_Portsmouth.Intl.AP.726055_US.Normals.1981-2010.zip")</f>
        <v>https://climate.onebuilding.org/WMO_Region_4_North_and_Central_America/USA_United_States_of_America/NH_New_Hampshire/USA_NH_Portsmouth.Intl.AP.726055_US.Normals.1981-2010.zip</v>
      </c>
    </row>
    <row r="1230" spans="1:10" x14ac:dyDescent="0.25">
      <c r="A1230" t="s">
        <v>35</v>
      </c>
      <c r="B1230" t="s">
        <v>764</v>
      </c>
      <c r="C1230" t="s">
        <v>773</v>
      </c>
      <c r="D1230" s="2">
        <v>726055</v>
      </c>
      <c r="E1230" t="s">
        <v>13</v>
      </c>
      <c r="F1230">
        <v>43.083300000000001</v>
      </c>
      <c r="G1230">
        <v>-70.816699999999997</v>
      </c>
      <c r="H1230">
        <v>-5</v>
      </c>
      <c r="I1230">
        <v>39</v>
      </c>
      <c r="J1230" t="str">
        <f>HYPERLINK("https://climate.onebuilding.org/WMO_Region_4_North_and_Central_America/USA_United_States_of_America/NH_New_Hampshire/USA_NH_Portsmouth.Intl.AP.726055_US.Normals.1991-2020.zip")</f>
        <v>https://climate.onebuilding.org/WMO_Region_4_North_and_Central_America/USA_United_States_of_America/NH_New_Hampshire/USA_NH_Portsmouth.Intl.AP.726055_US.Normals.1991-2020.zip</v>
      </c>
    </row>
    <row r="1231" spans="1:10" x14ac:dyDescent="0.25">
      <c r="A1231" t="s">
        <v>35</v>
      </c>
      <c r="B1231" t="s">
        <v>764</v>
      </c>
      <c r="C1231" t="s">
        <v>773</v>
      </c>
      <c r="D1231" s="2">
        <v>726055</v>
      </c>
      <c r="E1231" t="s">
        <v>13</v>
      </c>
      <c r="F1231">
        <v>43.083300000000001</v>
      </c>
      <c r="G1231">
        <v>-70.816699999999997</v>
      </c>
      <c r="H1231">
        <v>-5</v>
      </c>
      <c r="I1231">
        <v>39</v>
      </c>
      <c r="J1231" t="str">
        <f>HYPERLINK("https://climate.onebuilding.org/WMO_Region_4_North_and_Central_America/USA_United_States_of_America/NH_New_Hampshire/USA_NH_Portsmouth.Intl.AP.726055_US.Normals.2006-2020.zip")</f>
        <v>https://climate.onebuilding.org/WMO_Region_4_North_and_Central_America/USA_United_States_of_America/NH_New_Hampshire/USA_NH_Portsmouth.Intl.AP.726055_US.Normals.2006-2020.zip</v>
      </c>
    </row>
    <row r="1232" spans="1:10" x14ac:dyDescent="0.25">
      <c r="A1232" t="s">
        <v>35</v>
      </c>
      <c r="B1232" t="s">
        <v>764</v>
      </c>
      <c r="C1232" t="s">
        <v>774</v>
      </c>
      <c r="D1232" s="2">
        <v>726056</v>
      </c>
      <c r="E1232" t="s">
        <v>13</v>
      </c>
      <c r="F1232">
        <v>43.278100000000002</v>
      </c>
      <c r="G1232">
        <v>-70.922200000000004</v>
      </c>
      <c r="H1232">
        <v>-5</v>
      </c>
      <c r="I1232">
        <v>98.5</v>
      </c>
      <c r="J1232" t="str">
        <f>HYPERLINK("https://climate.onebuilding.org/WMO_Region_4_North_and_Central_America/USA_United_States_of_America/NH_New_Hampshire/USA_NH_Rochester-Skyhaven.AP.726056_US.Normals.2006-2020.zip")</f>
        <v>https://climate.onebuilding.org/WMO_Region_4_North_and_Central_America/USA_United_States_of_America/NH_New_Hampshire/USA_NH_Rochester-Skyhaven.AP.726056_US.Normals.2006-2020.zip</v>
      </c>
    </row>
    <row r="1233" spans="1:10" x14ac:dyDescent="0.25">
      <c r="A1233" t="s">
        <v>35</v>
      </c>
      <c r="B1233" t="s">
        <v>775</v>
      </c>
      <c r="C1233" t="s">
        <v>776</v>
      </c>
      <c r="D1233" s="2">
        <v>724077</v>
      </c>
      <c r="E1233" t="s">
        <v>13</v>
      </c>
      <c r="F1233">
        <v>41.008899999999997</v>
      </c>
      <c r="G1233">
        <v>-74.736699999999999</v>
      </c>
      <c r="H1233">
        <v>-5</v>
      </c>
      <c r="I1233">
        <v>177.7</v>
      </c>
      <c r="J1233" t="str">
        <f>HYPERLINK("https://climate.onebuilding.org/WMO_Region_4_North_and_Central_America/USA_United_States_of_America/NJ_New_Jersey/USA_NJ_Aeroflex.Andover.AP.724077_US.Normals.2006-2020.zip")</f>
        <v>https://climate.onebuilding.org/WMO_Region_4_North_and_Central_America/USA_United_States_of_America/NJ_New_Jersey/USA_NJ_Aeroflex.Andover.AP.724077_US.Normals.2006-2020.zip</v>
      </c>
    </row>
    <row r="1234" spans="1:10" x14ac:dyDescent="0.25">
      <c r="A1234" t="s">
        <v>35</v>
      </c>
      <c r="B1234" t="s">
        <v>775</v>
      </c>
      <c r="C1234" t="s">
        <v>777</v>
      </c>
      <c r="D1234" s="2">
        <v>724070</v>
      </c>
      <c r="E1234" t="s">
        <v>13</v>
      </c>
      <c r="F1234">
        <v>39.449399999999997</v>
      </c>
      <c r="G1234">
        <v>-74.5672</v>
      </c>
      <c r="H1234">
        <v>-5</v>
      </c>
      <c r="I1234">
        <v>18.3</v>
      </c>
      <c r="J1234" t="str">
        <f>HYPERLINK("https://climate.onebuilding.org/WMO_Region_4_North_and_Central_America/USA_United_States_of_America/NJ_New_Jersey/USA_NJ_Atlantic.City.Intl.AP.724070_US.Normals.1981-2010.zip")</f>
        <v>https://climate.onebuilding.org/WMO_Region_4_North_and_Central_America/USA_United_States_of_America/NJ_New_Jersey/USA_NJ_Atlantic.City.Intl.AP.724070_US.Normals.1981-2010.zip</v>
      </c>
    </row>
    <row r="1235" spans="1:10" x14ac:dyDescent="0.25">
      <c r="A1235" t="s">
        <v>35</v>
      </c>
      <c r="B1235" t="s">
        <v>775</v>
      </c>
      <c r="C1235" t="s">
        <v>777</v>
      </c>
      <c r="D1235" s="2">
        <v>724070</v>
      </c>
      <c r="E1235" t="s">
        <v>13</v>
      </c>
      <c r="F1235">
        <v>39.449399999999997</v>
      </c>
      <c r="G1235">
        <v>-74.5672</v>
      </c>
      <c r="H1235">
        <v>-5</v>
      </c>
      <c r="I1235">
        <v>18.3</v>
      </c>
      <c r="J1235" t="str">
        <f>HYPERLINK("https://climate.onebuilding.org/WMO_Region_4_North_and_Central_America/USA_United_States_of_America/NJ_New_Jersey/USA_NJ_Atlantic.City.Intl.AP.724070_US.Normals.1991-2020.zip")</f>
        <v>https://climate.onebuilding.org/WMO_Region_4_North_and_Central_America/USA_United_States_of_America/NJ_New_Jersey/USA_NJ_Atlantic.City.Intl.AP.724070_US.Normals.1991-2020.zip</v>
      </c>
    </row>
    <row r="1236" spans="1:10" x14ac:dyDescent="0.25">
      <c r="A1236" t="s">
        <v>35</v>
      </c>
      <c r="B1236" t="s">
        <v>775</v>
      </c>
      <c r="C1236" t="s">
        <v>777</v>
      </c>
      <c r="D1236" s="2">
        <v>724070</v>
      </c>
      <c r="E1236" t="s">
        <v>13</v>
      </c>
      <c r="F1236">
        <v>39.449399999999997</v>
      </c>
      <c r="G1236">
        <v>-74.5672</v>
      </c>
      <c r="H1236">
        <v>-5</v>
      </c>
      <c r="I1236">
        <v>18.3</v>
      </c>
      <c r="J1236" t="str">
        <f>HYPERLINK("https://climate.onebuilding.org/WMO_Region_4_North_and_Central_America/USA_United_States_of_America/NJ_New_Jersey/USA_NJ_Atlantic.City.Intl.AP.724070_US.Normals.2006-2020.zip")</f>
        <v>https://climate.onebuilding.org/WMO_Region_4_North_and_Central_America/USA_United_States_of_America/NJ_New_Jersey/USA_NJ_Atlantic.City.Intl.AP.724070_US.Normals.2006-2020.zip</v>
      </c>
    </row>
    <row r="1237" spans="1:10" x14ac:dyDescent="0.25">
      <c r="A1237" t="s">
        <v>35</v>
      </c>
      <c r="B1237" t="s">
        <v>775</v>
      </c>
      <c r="C1237" t="s">
        <v>778</v>
      </c>
      <c r="D1237" s="2">
        <v>722247</v>
      </c>
      <c r="E1237" t="s">
        <v>13</v>
      </c>
      <c r="F1237">
        <v>40.623899999999999</v>
      </c>
      <c r="G1237">
        <v>-74.669399999999996</v>
      </c>
      <c r="H1237">
        <v>-5</v>
      </c>
      <c r="I1237">
        <v>32</v>
      </c>
      <c r="J1237" t="str">
        <f>HYPERLINK("https://climate.onebuilding.org/WMO_Region_4_North_and_Central_America/USA_United_States_of_America/NJ_New_Jersey/USA_NJ_Bedminster-Somerset.AP.722247_US.Normals.2006-2020.zip")</f>
        <v>https://climate.onebuilding.org/WMO_Region_4_North_and_Central_America/USA_United_States_of_America/NJ_New_Jersey/USA_NJ_Bedminster-Somerset.AP.722247_US.Normals.2006-2020.zip</v>
      </c>
    </row>
    <row r="1238" spans="1:10" x14ac:dyDescent="0.25">
      <c r="A1238" t="s">
        <v>35</v>
      </c>
      <c r="B1238" t="s">
        <v>775</v>
      </c>
      <c r="C1238" t="s">
        <v>779</v>
      </c>
      <c r="D1238" s="2">
        <v>724094</v>
      </c>
      <c r="E1238" t="s">
        <v>13</v>
      </c>
      <c r="F1238">
        <v>40.876399999999997</v>
      </c>
      <c r="G1238">
        <v>-74.283100000000005</v>
      </c>
      <c r="H1238">
        <v>-5</v>
      </c>
      <c r="I1238">
        <v>52.7</v>
      </c>
      <c r="J1238" t="str">
        <f>HYPERLINK("https://climate.onebuilding.org/WMO_Region_4_North_and_Central_America/USA_United_States_of_America/NJ_New_Jersey/USA_NJ_Caldwell-Essex.County.AP.724094_US.Normals.2006-2020.zip")</f>
        <v>https://climate.onebuilding.org/WMO_Region_4_North_and_Central_America/USA_United_States_of_America/NJ_New_Jersey/USA_NJ_Caldwell-Essex.County.AP.724094_US.Normals.2006-2020.zip</v>
      </c>
    </row>
    <row r="1239" spans="1:10" x14ac:dyDescent="0.25">
      <c r="A1239" t="s">
        <v>35</v>
      </c>
      <c r="B1239" t="s">
        <v>775</v>
      </c>
      <c r="C1239" t="s">
        <v>780</v>
      </c>
      <c r="D1239" s="2">
        <v>724096</v>
      </c>
      <c r="E1239" t="s">
        <v>13</v>
      </c>
      <c r="F1239">
        <v>40.0167</v>
      </c>
      <c r="G1239">
        <v>-74.599999999999994</v>
      </c>
      <c r="H1239">
        <v>-5</v>
      </c>
      <c r="I1239">
        <v>45.1</v>
      </c>
      <c r="J1239" t="str">
        <f>HYPERLINK("https://climate.onebuilding.org/WMO_Region_4_North_and_Central_America/USA_United_States_of_America/NJ_New_Jersey/USA_NJ_JB.McGuire-Dix-Lakehurst-McGuire.AFB.724096_US.Normals.1981-2010.zip")</f>
        <v>https://climate.onebuilding.org/WMO_Region_4_North_and_Central_America/USA_United_States_of_America/NJ_New_Jersey/USA_NJ_JB.McGuire-Dix-Lakehurst-McGuire.AFB.724096_US.Normals.1981-2010.zip</v>
      </c>
    </row>
    <row r="1240" spans="1:10" x14ac:dyDescent="0.25">
      <c r="A1240" t="s">
        <v>35</v>
      </c>
      <c r="B1240" t="s">
        <v>775</v>
      </c>
      <c r="C1240" t="s">
        <v>780</v>
      </c>
      <c r="D1240" s="2">
        <v>724096</v>
      </c>
      <c r="E1240" t="s">
        <v>13</v>
      </c>
      <c r="F1240">
        <v>40.0167</v>
      </c>
      <c r="G1240">
        <v>-74.599999999999994</v>
      </c>
      <c r="H1240">
        <v>-5</v>
      </c>
      <c r="I1240">
        <v>45.1</v>
      </c>
      <c r="J1240" t="str">
        <f>HYPERLINK("https://climate.onebuilding.org/WMO_Region_4_North_and_Central_America/USA_United_States_of_America/NJ_New_Jersey/USA_NJ_JB.McGuire-Dix-Lakehurst-McGuire.AFB.724096_US.Normals.1991-2020.zip")</f>
        <v>https://climate.onebuilding.org/WMO_Region_4_North_and_Central_America/USA_United_States_of_America/NJ_New_Jersey/USA_NJ_JB.McGuire-Dix-Lakehurst-McGuire.AFB.724096_US.Normals.1991-2020.zip</v>
      </c>
    </row>
    <row r="1241" spans="1:10" x14ac:dyDescent="0.25">
      <c r="A1241" t="s">
        <v>35</v>
      </c>
      <c r="B1241" t="s">
        <v>775</v>
      </c>
      <c r="C1241" t="s">
        <v>780</v>
      </c>
      <c r="D1241" s="2">
        <v>724096</v>
      </c>
      <c r="E1241" t="s">
        <v>13</v>
      </c>
      <c r="F1241">
        <v>40.0167</v>
      </c>
      <c r="G1241">
        <v>-74.599999999999994</v>
      </c>
      <c r="H1241">
        <v>-5</v>
      </c>
      <c r="I1241">
        <v>45.1</v>
      </c>
      <c r="J1241" t="str">
        <f>HYPERLINK("https://climate.onebuilding.org/WMO_Region_4_North_and_Central_America/USA_United_States_of_America/NJ_New_Jersey/USA_NJ_JB.McGuire-Dix-Lakehurst-McGuire.AFB.724096_US.Normals.2006-2020.zip")</f>
        <v>https://climate.onebuilding.org/WMO_Region_4_North_and_Central_America/USA_United_States_of_America/NJ_New_Jersey/USA_NJ_JB.McGuire-Dix-Lakehurst-McGuire.AFB.724096_US.Normals.2006-2020.zip</v>
      </c>
    </row>
    <row r="1242" spans="1:10" x14ac:dyDescent="0.25">
      <c r="A1242" t="s">
        <v>35</v>
      </c>
      <c r="B1242" t="s">
        <v>775</v>
      </c>
      <c r="C1242" t="s">
        <v>781</v>
      </c>
      <c r="D1242" s="2">
        <v>724074</v>
      </c>
      <c r="E1242" t="s">
        <v>13</v>
      </c>
      <c r="F1242">
        <v>39.949199999999998</v>
      </c>
      <c r="G1242">
        <v>-74.841700000000003</v>
      </c>
      <c r="H1242">
        <v>-5</v>
      </c>
      <c r="I1242">
        <v>16.2</v>
      </c>
      <c r="J1242" t="str">
        <f>HYPERLINK("https://climate.onebuilding.org/WMO_Region_4_North_and_Central_America/USA_United_States_of_America/NJ_New_Jersey/USA_NJ_Lumberton-South.Jersey.Rgnl.AP.724074_US.Normals.2006-2020.zip")</f>
        <v>https://climate.onebuilding.org/WMO_Region_4_North_and_Central_America/USA_United_States_of_America/NJ_New_Jersey/USA_NJ_Lumberton-South.Jersey.Rgnl.AP.724074_US.Normals.2006-2020.zip</v>
      </c>
    </row>
    <row r="1243" spans="1:10" x14ac:dyDescent="0.25">
      <c r="A1243" t="s">
        <v>35</v>
      </c>
      <c r="B1243" t="s">
        <v>775</v>
      </c>
      <c r="C1243" t="s">
        <v>782</v>
      </c>
      <c r="D1243" s="2">
        <v>724075</v>
      </c>
      <c r="E1243" t="s">
        <v>13</v>
      </c>
      <c r="F1243">
        <v>39.366700000000002</v>
      </c>
      <c r="G1243">
        <v>-75.066699999999997</v>
      </c>
      <c r="H1243">
        <v>-5</v>
      </c>
      <c r="I1243">
        <v>21.3</v>
      </c>
      <c r="J1243" t="str">
        <f>HYPERLINK("https://climate.onebuilding.org/WMO_Region_4_North_and_Central_America/USA_United_States_of_America/NJ_New_Jersey/USA_NJ_Millville.Muni.AP.724075_US.Normals.1981-2010.zip")</f>
        <v>https://climate.onebuilding.org/WMO_Region_4_North_and_Central_America/USA_United_States_of_America/NJ_New_Jersey/USA_NJ_Millville.Muni.AP.724075_US.Normals.1981-2010.zip</v>
      </c>
    </row>
    <row r="1244" spans="1:10" x14ac:dyDescent="0.25">
      <c r="A1244" t="s">
        <v>35</v>
      </c>
      <c r="B1244" t="s">
        <v>775</v>
      </c>
      <c r="C1244" t="s">
        <v>782</v>
      </c>
      <c r="D1244" s="2">
        <v>724075</v>
      </c>
      <c r="E1244" t="s">
        <v>13</v>
      </c>
      <c r="F1244">
        <v>39.366700000000002</v>
      </c>
      <c r="G1244">
        <v>-75.066699999999997</v>
      </c>
      <c r="H1244">
        <v>-5</v>
      </c>
      <c r="I1244">
        <v>21.3</v>
      </c>
      <c r="J1244" t="str">
        <f>HYPERLINK("https://climate.onebuilding.org/WMO_Region_4_North_and_Central_America/USA_United_States_of_America/NJ_New_Jersey/USA_NJ_Millville.Muni.AP.724075_US.Normals.1991-2020.zip")</f>
        <v>https://climate.onebuilding.org/WMO_Region_4_North_and_Central_America/USA_United_States_of_America/NJ_New_Jersey/USA_NJ_Millville.Muni.AP.724075_US.Normals.1991-2020.zip</v>
      </c>
    </row>
    <row r="1245" spans="1:10" x14ac:dyDescent="0.25">
      <c r="A1245" t="s">
        <v>35</v>
      </c>
      <c r="B1245" t="s">
        <v>775</v>
      </c>
      <c r="C1245" t="s">
        <v>782</v>
      </c>
      <c r="D1245" s="2">
        <v>724075</v>
      </c>
      <c r="E1245" t="s">
        <v>13</v>
      </c>
      <c r="F1245">
        <v>39.366700000000002</v>
      </c>
      <c r="G1245">
        <v>-75.066699999999997</v>
      </c>
      <c r="H1245">
        <v>-5</v>
      </c>
      <c r="I1245">
        <v>21.3</v>
      </c>
      <c r="J1245" t="str">
        <f>HYPERLINK("https://climate.onebuilding.org/WMO_Region_4_North_and_Central_America/USA_United_States_of_America/NJ_New_Jersey/USA_NJ_Millville.Muni.AP.724075_US.Normals.2006-2020.zip")</f>
        <v>https://climate.onebuilding.org/WMO_Region_4_North_and_Central_America/USA_United_States_of_America/NJ_New_Jersey/USA_NJ_Millville.Muni.AP.724075_US.Normals.2006-2020.zip</v>
      </c>
    </row>
    <row r="1246" spans="1:10" x14ac:dyDescent="0.25">
      <c r="A1246" t="s">
        <v>35</v>
      </c>
      <c r="B1246" t="s">
        <v>775</v>
      </c>
      <c r="C1246" t="s">
        <v>783</v>
      </c>
      <c r="D1246" s="2">
        <v>725020</v>
      </c>
      <c r="E1246" t="s">
        <v>13</v>
      </c>
      <c r="F1246">
        <v>40.682499999999997</v>
      </c>
      <c r="G1246">
        <v>-74.169399999999996</v>
      </c>
      <c r="H1246">
        <v>-5</v>
      </c>
      <c r="I1246">
        <v>2.1</v>
      </c>
      <c r="J1246" t="str">
        <f>HYPERLINK("https://climate.onebuilding.org/WMO_Region_4_North_and_Central_America/USA_United_States_of_America/NJ_New_Jersey/USA_NJ_Newark.Liberty.Intl.AP.725020_US.Normals.1981-2010.zip")</f>
        <v>https://climate.onebuilding.org/WMO_Region_4_North_and_Central_America/USA_United_States_of_America/NJ_New_Jersey/USA_NJ_Newark.Liberty.Intl.AP.725020_US.Normals.1981-2010.zip</v>
      </c>
    </row>
    <row r="1247" spans="1:10" x14ac:dyDescent="0.25">
      <c r="A1247" t="s">
        <v>35</v>
      </c>
      <c r="B1247" t="s">
        <v>775</v>
      </c>
      <c r="C1247" t="s">
        <v>783</v>
      </c>
      <c r="D1247" s="2">
        <v>725020</v>
      </c>
      <c r="E1247" t="s">
        <v>13</v>
      </c>
      <c r="F1247">
        <v>40.682499999999997</v>
      </c>
      <c r="G1247">
        <v>-74.169399999999996</v>
      </c>
      <c r="H1247">
        <v>-5</v>
      </c>
      <c r="I1247">
        <v>2.1</v>
      </c>
      <c r="J1247" t="str">
        <f>HYPERLINK("https://climate.onebuilding.org/WMO_Region_4_North_and_Central_America/USA_United_States_of_America/NJ_New_Jersey/USA_NJ_Newark.Liberty.Intl.AP.725020_US.Normals.1991-2020.zip")</f>
        <v>https://climate.onebuilding.org/WMO_Region_4_North_and_Central_America/USA_United_States_of_America/NJ_New_Jersey/USA_NJ_Newark.Liberty.Intl.AP.725020_US.Normals.1991-2020.zip</v>
      </c>
    </row>
    <row r="1248" spans="1:10" x14ac:dyDescent="0.25">
      <c r="A1248" t="s">
        <v>35</v>
      </c>
      <c r="B1248" t="s">
        <v>775</v>
      </c>
      <c r="C1248" t="s">
        <v>783</v>
      </c>
      <c r="D1248" s="2">
        <v>725020</v>
      </c>
      <c r="E1248" t="s">
        <v>13</v>
      </c>
      <c r="F1248">
        <v>40.682499999999997</v>
      </c>
      <c r="G1248">
        <v>-74.169399999999996</v>
      </c>
      <c r="H1248">
        <v>-5</v>
      </c>
      <c r="I1248">
        <v>2.1</v>
      </c>
      <c r="J1248" t="str">
        <f>HYPERLINK("https://climate.onebuilding.org/WMO_Region_4_North_and_Central_America/USA_United_States_of_America/NJ_New_Jersey/USA_NJ_Newark.Liberty.Intl.AP.725020_US.Normals.2006-2020.zip")</f>
        <v>https://climate.onebuilding.org/WMO_Region_4_North_and_Central_America/USA_United_States_of_America/NJ_New_Jersey/USA_NJ_Newark.Liberty.Intl.AP.725020_US.Normals.2006-2020.zip</v>
      </c>
    </row>
    <row r="1249" spans="1:10" x14ac:dyDescent="0.25">
      <c r="A1249" t="s">
        <v>35</v>
      </c>
      <c r="B1249" t="s">
        <v>775</v>
      </c>
      <c r="C1249" t="s">
        <v>784</v>
      </c>
      <c r="D1249" s="2">
        <v>740001</v>
      </c>
      <c r="E1249" t="s">
        <v>13</v>
      </c>
      <c r="F1249">
        <v>41.200299999999999</v>
      </c>
      <c r="G1249">
        <v>-74.623099999999994</v>
      </c>
      <c r="H1249">
        <v>-5</v>
      </c>
      <c r="I1249">
        <v>128.30000000000001</v>
      </c>
      <c r="J1249" t="str">
        <f>HYPERLINK("https://climate.onebuilding.org/WMO_Region_4_North_and_Central_America/USA_United_States_of_America/NJ_New_Jersey/USA_NJ_Sussex.AP.740001_US.Normals.2006-2020.zip")</f>
        <v>https://climate.onebuilding.org/WMO_Region_4_North_and_Central_America/USA_United_States_of_America/NJ_New_Jersey/USA_NJ_Sussex.AP.740001_US.Normals.2006-2020.zip</v>
      </c>
    </row>
    <row r="1250" spans="1:10" x14ac:dyDescent="0.25">
      <c r="A1250" t="s">
        <v>35</v>
      </c>
      <c r="B1250" t="s">
        <v>775</v>
      </c>
      <c r="C1250" t="s">
        <v>785</v>
      </c>
      <c r="D1250" s="2">
        <v>725025</v>
      </c>
      <c r="E1250" t="s">
        <v>13</v>
      </c>
      <c r="F1250">
        <v>40.85</v>
      </c>
      <c r="G1250">
        <v>-74.061400000000006</v>
      </c>
      <c r="H1250">
        <v>-5</v>
      </c>
      <c r="I1250">
        <v>2.7</v>
      </c>
      <c r="J1250" t="str">
        <f>HYPERLINK("https://climate.onebuilding.org/WMO_Region_4_North_and_Central_America/USA_United_States_of_America/NJ_New_Jersey/USA_NJ_Teterboro.AP.725025_US.Normals.1981-2010.zip")</f>
        <v>https://climate.onebuilding.org/WMO_Region_4_North_and_Central_America/USA_United_States_of_America/NJ_New_Jersey/USA_NJ_Teterboro.AP.725025_US.Normals.1981-2010.zip</v>
      </c>
    </row>
    <row r="1251" spans="1:10" x14ac:dyDescent="0.25">
      <c r="A1251" t="s">
        <v>35</v>
      </c>
      <c r="B1251" t="s">
        <v>775</v>
      </c>
      <c r="C1251" t="s">
        <v>785</v>
      </c>
      <c r="D1251" s="2">
        <v>725025</v>
      </c>
      <c r="E1251" t="s">
        <v>13</v>
      </c>
      <c r="F1251">
        <v>40.85</v>
      </c>
      <c r="G1251">
        <v>-74.061400000000006</v>
      </c>
      <c r="H1251">
        <v>-5</v>
      </c>
      <c r="I1251">
        <v>2.7</v>
      </c>
      <c r="J1251" t="str">
        <f>HYPERLINK("https://climate.onebuilding.org/WMO_Region_4_North_and_Central_America/USA_United_States_of_America/NJ_New_Jersey/USA_NJ_Teterboro.AP.725025_US.Normals.1991-2020.zip")</f>
        <v>https://climate.onebuilding.org/WMO_Region_4_North_and_Central_America/USA_United_States_of_America/NJ_New_Jersey/USA_NJ_Teterboro.AP.725025_US.Normals.1991-2020.zip</v>
      </c>
    </row>
    <row r="1252" spans="1:10" x14ac:dyDescent="0.25">
      <c r="A1252" t="s">
        <v>35</v>
      </c>
      <c r="B1252" t="s">
        <v>775</v>
      </c>
      <c r="C1252" t="s">
        <v>785</v>
      </c>
      <c r="D1252" s="2">
        <v>725025</v>
      </c>
      <c r="E1252" t="s">
        <v>13</v>
      </c>
      <c r="F1252">
        <v>40.85</v>
      </c>
      <c r="G1252">
        <v>-74.061400000000006</v>
      </c>
      <c r="H1252">
        <v>-5</v>
      </c>
      <c r="I1252">
        <v>2.7</v>
      </c>
      <c r="J1252" t="str">
        <f>HYPERLINK("https://climate.onebuilding.org/WMO_Region_4_North_and_Central_America/USA_United_States_of_America/NJ_New_Jersey/USA_NJ_Teterboro.AP.725025_US.Normals.2006-2020.zip")</f>
        <v>https://climate.onebuilding.org/WMO_Region_4_North_and_Central_America/USA_United_States_of_America/NJ_New_Jersey/USA_NJ_Teterboro.AP.725025_US.Normals.2006-2020.zip</v>
      </c>
    </row>
    <row r="1253" spans="1:10" x14ac:dyDescent="0.25">
      <c r="A1253" t="s">
        <v>35</v>
      </c>
      <c r="B1253" t="s">
        <v>775</v>
      </c>
      <c r="C1253" t="s">
        <v>786</v>
      </c>
      <c r="D1253" s="2">
        <v>724095</v>
      </c>
      <c r="E1253" t="s">
        <v>13</v>
      </c>
      <c r="F1253">
        <v>40.276899999999998</v>
      </c>
      <c r="G1253">
        <v>-74.815799999999996</v>
      </c>
      <c r="H1253">
        <v>-5</v>
      </c>
      <c r="I1253">
        <v>56.1</v>
      </c>
      <c r="J1253" t="str">
        <f>HYPERLINK("https://climate.onebuilding.org/WMO_Region_4_North_and_Central_America/USA_United_States_of_America/NJ_New_Jersey/USA_NJ_Trenton-Mercer.AP.724095_US.Normals.2006-2020.zip")</f>
        <v>https://climate.onebuilding.org/WMO_Region_4_North_and_Central_America/USA_United_States_of_America/NJ_New_Jersey/USA_NJ_Trenton-Mercer.AP.724095_US.Normals.2006-2020.zip</v>
      </c>
    </row>
    <row r="1254" spans="1:10" x14ac:dyDescent="0.25">
      <c r="A1254" t="s">
        <v>35</v>
      </c>
      <c r="B1254" t="s">
        <v>787</v>
      </c>
      <c r="C1254" t="s">
        <v>788</v>
      </c>
      <c r="D1254" s="2">
        <v>747320</v>
      </c>
      <c r="E1254" t="s">
        <v>13</v>
      </c>
      <c r="F1254">
        <v>32.85</v>
      </c>
      <c r="G1254">
        <v>-106.1</v>
      </c>
      <c r="H1254">
        <v>-7</v>
      </c>
      <c r="I1254">
        <v>1267.4000000000001</v>
      </c>
      <c r="J1254" t="str">
        <f>HYPERLINK("https://climate.onebuilding.org/WMO_Region_4_North_and_Central_America/USA_United_States_of_America/NM_New_Mexico/USA_NM_Alamogordo-Holloman.AFB.747320_US.Normals.2006-2020.zip")</f>
        <v>https://climate.onebuilding.org/WMO_Region_4_North_and_Central_America/USA_United_States_of_America/NM_New_Mexico/USA_NM_Alamogordo-Holloman.AFB.747320_US.Normals.2006-2020.zip</v>
      </c>
    </row>
    <row r="1255" spans="1:10" x14ac:dyDescent="0.25">
      <c r="A1255" t="s">
        <v>35</v>
      </c>
      <c r="B1255" t="s">
        <v>787</v>
      </c>
      <c r="C1255" t="s">
        <v>789</v>
      </c>
      <c r="D1255" s="2">
        <v>723650</v>
      </c>
      <c r="E1255" t="s">
        <v>13</v>
      </c>
      <c r="F1255">
        <v>35.041899999999998</v>
      </c>
      <c r="G1255">
        <v>-106.6156</v>
      </c>
      <c r="H1255">
        <v>-7</v>
      </c>
      <c r="I1255">
        <v>1618.5</v>
      </c>
      <c r="J1255" t="str">
        <f>HYPERLINK("https://climate.onebuilding.org/WMO_Region_4_North_and_Central_America/USA_United_States_of_America/NM_New_Mexico/USA_NM_Albuquerque.Intl.Sunport.723650_US.Normals.1981-2010.zip")</f>
        <v>https://climate.onebuilding.org/WMO_Region_4_North_and_Central_America/USA_United_States_of_America/NM_New_Mexico/USA_NM_Albuquerque.Intl.Sunport.723650_US.Normals.1981-2010.zip</v>
      </c>
    </row>
    <row r="1256" spans="1:10" x14ac:dyDescent="0.25">
      <c r="A1256" t="s">
        <v>35</v>
      </c>
      <c r="B1256" t="s">
        <v>787</v>
      </c>
      <c r="C1256" t="s">
        <v>789</v>
      </c>
      <c r="D1256" s="2">
        <v>723650</v>
      </c>
      <c r="E1256" t="s">
        <v>13</v>
      </c>
      <c r="F1256">
        <v>35.041899999999998</v>
      </c>
      <c r="G1256">
        <v>-106.6156</v>
      </c>
      <c r="H1256">
        <v>-7</v>
      </c>
      <c r="I1256">
        <v>1618.5</v>
      </c>
      <c r="J1256" t="str">
        <f>HYPERLINK("https://climate.onebuilding.org/WMO_Region_4_North_and_Central_America/USA_United_States_of_America/NM_New_Mexico/USA_NM_Albuquerque.Intl.Sunport.723650_US.Normals.1991-2020.zip")</f>
        <v>https://climate.onebuilding.org/WMO_Region_4_North_and_Central_America/USA_United_States_of_America/NM_New_Mexico/USA_NM_Albuquerque.Intl.Sunport.723650_US.Normals.1991-2020.zip</v>
      </c>
    </row>
    <row r="1257" spans="1:10" x14ac:dyDescent="0.25">
      <c r="A1257" t="s">
        <v>35</v>
      </c>
      <c r="B1257" t="s">
        <v>787</v>
      </c>
      <c r="C1257" t="s">
        <v>789</v>
      </c>
      <c r="D1257" s="2">
        <v>723650</v>
      </c>
      <c r="E1257" t="s">
        <v>13</v>
      </c>
      <c r="F1257">
        <v>35.041899999999998</v>
      </c>
      <c r="G1257">
        <v>-106.6156</v>
      </c>
      <c r="H1257">
        <v>-7</v>
      </c>
      <c r="I1257">
        <v>1618.5</v>
      </c>
      <c r="J1257" t="str">
        <f>HYPERLINK("https://climate.onebuilding.org/WMO_Region_4_North_and_Central_America/USA_United_States_of_America/NM_New_Mexico/USA_NM_Albuquerque.Intl.Sunport.723650_US.Normals.2006-2020.zip")</f>
        <v>https://climate.onebuilding.org/WMO_Region_4_North_and_Central_America/USA_United_States_of_America/NM_New_Mexico/USA_NM_Albuquerque.Intl.Sunport.723650_US.Normals.2006-2020.zip</v>
      </c>
    </row>
    <row r="1258" spans="1:10" x14ac:dyDescent="0.25">
      <c r="A1258" t="s">
        <v>35</v>
      </c>
      <c r="B1258" t="s">
        <v>787</v>
      </c>
      <c r="C1258" t="s">
        <v>790</v>
      </c>
      <c r="D1258" s="2">
        <v>722687</v>
      </c>
      <c r="E1258" t="s">
        <v>13</v>
      </c>
      <c r="F1258">
        <v>32.333599999999997</v>
      </c>
      <c r="G1258">
        <v>-104.2581</v>
      </c>
      <c r="H1258">
        <v>-7</v>
      </c>
      <c r="I1258">
        <v>985.1</v>
      </c>
      <c r="J1258" t="str">
        <f>HYPERLINK("https://climate.onebuilding.org/WMO_Region_4_North_and_Central_America/USA_United_States_of_America/NM_New_Mexico/USA_NM_Carlsbad-Cavern.City.AF.722687_US.Normals.1981-2010.zip")</f>
        <v>https://climate.onebuilding.org/WMO_Region_4_North_and_Central_America/USA_United_States_of_America/NM_New_Mexico/USA_NM_Carlsbad-Cavern.City.AF.722687_US.Normals.1981-2010.zip</v>
      </c>
    </row>
    <row r="1259" spans="1:10" x14ac:dyDescent="0.25">
      <c r="A1259" t="s">
        <v>35</v>
      </c>
      <c r="B1259" t="s">
        <v>787</v>
      </c>
      <c r="C1259" t="s">
        <v>790</v>
      </c>
      <c r="D1259" s="2">
        <v>722687</v>
      </c>
      <c r="E1259" t="s">
        <v>13</v>
      </c>
      <c r="F1259">
        <v>32.333599999999997</v>
      </c>
      <c r="G1259">
        <v>-104.2581</v>
      </c>
      <c r="H1259">
        <v>-7</v>
      </c>
      <c r="I1259">
        <v>985.1</v>
      </c>
      <c r="J1259" t="str">
        <f>HYPERLINK("https://climate.onebuilding.org/WMO_Region_4_North_and_Central_America/USA_United_States_of_America/NM_New_Mexico/USA_NM_Carlsbad-Cavern.City.AF.722687_US.Normals.1991-2020.zip")</f>
        <v>https://climate.onebuilding.org/WMO_Region_4_North_and_Central_America/USA_United_States_of_America/NM_New_Mexico/USA_NM_Carlsbad-Cavern.City.AF.722687_US.Normals.1991-2020.zip</v>
      </c>
    </row>
    <row r="1260" spans="1:10" x14ac:dyDescent="0.25">
      <c r="A1260" t="s">
        <v>35</v>
      </c>
      <c r="B1260" t="s">
        <v>787</v>
      </c>
      <c r="C1260" t="s">
        <v>790</v>
      </c>
      <c r="D1260" s="2">
        <v>722687</v>
      </c>
      <c r="E1260" t="s">
        <v>13</v>
      </c>
      <c r="F1260">
        <v>32.333599999999997</v>
      </c>
      <c r="G1260">
        <v>-104.2581</v>
      </c>
      <c r="H1260">
        <v>-7</v>
      </c>
      <c r="I1260">
        <v>985.1</v>
      </c>
      <c r="J1260" t="str">
        <f>HYPERLINK("https://climate.onebuilding.org/WMO_Region_4_North_and_Central_America/USA_United_States_of_America/NM_New_Mexico/USA_NM_Carlsbad-Cavern.City.AF.722687_US.Normals.2006-2020.zip")</f>
        <v>https://climate.onebuilding.org/WMO_Region_4_North_and_Central_America/USA_United_States_of_America/NM_New_Mexico/USA_NM_Carlsbad-Cavern.City.AF.722687_US.Normals.2006-2020.zip</v>
      </c>
    </row>
    <row r="1261" spans="1:10" x14ac:dyDescent="0.25">
      <c r="A1261" t="s">
        <v>35</v>
      </c>
      <c r="B1261" t="s">
        <v>787</v>
      </c>
      <c r="C1261" t="s">
        <v>791</v>
      </c>
      <c r="D1261" s="2">
        <v>723600</v>
      </c>
      <c r="E1261" t="s">
        <v>13</v>
      </c>
      <c r="F1261">
        <v>36.448599999999999</v>
      </c>
      <c r="G1261">
        <v>-103.15389999999999</v>
      </c>
      <c r="H1261">
        <v>-7</v>
      </c>
      <c r="I1261">
        <v>1511.8</v>
      </c>
      <c r="J1261" t="str">
        <f>HYPERLINK("https://climate.onebuilding.org/WMO_Region_4_North_and_Central_America/USA_United_States_of_America/NM_New_Mexico/USA_NM_Clayton.Muni.AF.723600_US.Normals.1991-2020.zip")</f>
        <v>https://climate.onebuilding.org/WMO_Region_4_North_and_Central_America/USA_United_States_of_America/NM_New_Mexico/USA_NM_Clayton.Muni.AF.723600_US.Normals.1991-2020.zip</v>
      </c>
    </row>
    <row r="1262" spans="1:10" x14ac:dyDescent="0.25">
      <c r="A1262" t="s">
        <v>35</v>
      </c>
      <c r="B1262" t="s">
        <v>787</v>
      </c>
      <c r="C1262" t="s">
        <v>791</v>
      </c>
      <c r="D1262" s="2">
        <v>723600</v>
      </c>
      <c r="E1262" t="s">
        <v>13</v>
      </c>
      <c r="F1262">
        <v>36.448599999999999</v>
      </c>
      <c r="G1262">
        <v>-103.15389999999999</v>
      </c>
      <c r="H1262">
        <v>-7</v>
      </c>
      <c r="I1262">
        <v>1511.8</v>
      </c>
      <c r="J1262" t="str">
        <f>HYPERLINK("https://climate.onebuilding.org/WMO_Region_4_North_and_Central_America/USA_United_States_of_America/NM_New_Mexico/USA_NM_Clayton.Muni.AF.723600_US.Normals.2006-2020.zip")</f>
        <v>https://climate.onebuilding.org/WMO_Region_4_North_and_Central_America/USA_United_States_of_America/NM_New_Mexico/USA_NM_Clayton.Muni.AF.723600_US.Normals.2006-2020.zip</v>
      </c>
    </row>
    <row r="1263" spans="1:10" x14ac:dyDescent="0.25">
      <c r="A1263" t="s">
        <v>35</v>
      </c>
      <c r="B1263" t="s">
        <v>787</v>
      </c>
      <c r="C1263" t="s">
        <v>792</v>
      </c>
      <c r="D1263" s="2">
        <v>722677</v>
      </c>
      <c r="E1263" t="s">
        <v>13</v>
      </c>
      <c r="F1263">
        <v>35.002800000000001</v>
      </c>
      <c r="G1263">
        <v>-105.6628</v>
      </c>
      <c r="H1263">
        <v>-7</v>
      </c>
      <c r="I1263">
        <v>2159.8000000000002</v>
      </c>
      <c r="J1263" t="str">
        <f>HYPERLINK("https://climate.onebuilding.org/WMO_Region_4_North_and_Central_America/USA_United_States_of_America/NM_New_Mexico/USA_NM_Clines.Corners.722677_US.Normals.2006-2020.zip")</f>
        <v>https://climate.onebuilding.org/WMO_Region_4_North_and_Central_America/USA_United_States_of_America/NM_New_Mexico/USA_NM_Clines.Corners.722677_US.Normals.2006-2020.zip</v>
      </c>
    </row>
    <row r="1264" spans="1:10" x14ac:dyDescent="0.25">
      <c r="A1264" t="s">
        <v>35</v>
      </c>
      <c r="B1264" t="s">
        <v>787</v>
      </c>
      <c r="C1264" t="s">
        <v>793</v>
      </c>
      <c r="D1264" s="2">
        <v>722686</v>
      </c>
      <c r="E1264" t="s">
        <v>13</v>
      </c>
      <c r="F1264">
        <v>34.383299999999998</v>
      </c>
      <c r="G1264">
        <v>-103.3167</v>
      </c>
      <c r="H1264">
        <v>-7</v>
      </c>
      <c r="I1264">
        <v>1309.0999999999999</v>
      </c>
      <c r="J1264" t="str">
        <f>HYPERLINK("https://climate.onebuilding.org/WMO_Region_4_North_and_Central_America/USA_United_States_of_America/NM_New_Mexico/USA_NM_Clovis-Cannon.AFB.722686_US.Normals.1981-2010.zip")</f>
        <v>https://climate.onebuilding.org/WMO_Region_4_North_and_Central_America/USA_United_States_of_America/NM_New_Mexico/USA_NM_Clovis-Cannon.AFB.722686_US.Normals.1981-2010.zip</v>
      </c>
    </row>
    <row r="1265" spans="1:10" x14ac:dyDescent="0.25">
      <c r="A1265" t="s">
        <v>35</v>
      </c>
      <c r="B1265" t="s">
        <v>787</v>
      </c>
      <c r="C1265" t="s">
        <v>793</v>
      </c>
      <c r="D1265" s="2">
        <v>722686</v>
      </c>
      <c r="E1265" t="s">
        <v>13</v>
      </c>
      <c r="F1265">
        <v>34.383299999999998</v>
      </c>
      <c r="G1265">
        <v>-103.3167</v>
      </c>
      <c r="H1265">
        <v>-7</v>
      </c>
      <c r="I1265">
        <v>1309.0999999999999</v>
      </c>
      <c r="J1265" t="str">
        <f>HYPERLINK("https://climate.onebuilding.org/WMO_Region_4_North_and_Central_America/USA_United_States_of_America/NM_New_Mexico/USA_NM_Clovis-Cannon.AFB.722686_US.Normals.1991-2020.zip")</f>
        <v>https://climate.onebuilding.org/WMO_Region_4_North_and_Central_America/USA_United_States_of_America/NM_New_Mexico/USA_NM_Clovis-Cannon.AFB.722686_US.Normals.1991-2020.zip</v>
      </c>
    </row>
    <row r="1266" spans="1:10" x14ac:dyDescent="0.25">
      <c r="A1266" t="s">
        <v>35</v>
      </c>
      <c r="B1266" t="s">
        <v>787</v>
      </c>
      <c r="C1266" t="s">
        <v>793</v>
      </c>
      <c r="D1266" s="2">
        <v>722686</v>
      </c>
      <c r="E1266" t="s">
        <v>13</v>
      </c>
      <c r="F1266">
        <v>34.383299999999998</v>
      </c>
      <c r="G1266">
        <v>-103.3167</v>
      </c>
      <c r="H1266">
        <v>-7</v>
      </c>
      <c r="I1266">
        <v>1309.0999999999999</v>
      </c>
      <c r="J1266" t="str">
        <f>HYPERLINK("https://climate.onebuilding.org/WMO_Region_4_North_and_Central_America/USA_United_States_of_America/NM_New_Mexico/USA_NM_Clovis-Cannon.AFB.722686_US.Normals.2006-2020.zip")</f>
        <v>https://climate.onebuilding.org/WMO_Region_4_North_and_Central_America/USA_United_States_of_America/NM_New_Mexico/USA_NM_Clovis-Cannon.AFB.722686_US.Normals.2006-2020.zip</v>
      </c>
    </row>
    <row r="1267" spans="1:10" x14ac:dyDescent="0.25">
      <c r="A1267" t="s">
        <v>35</v>
      </c>
      <c r="B1267" t="s">
        <v>787</v>
      </c>
      <c r="C1267" t="s">
        <v>794</v>
      </c>
      <c r="D1267" s="2">
        <v>722725</v>
      </c>
      <c r="E1267" t="s">
        <v>13</v>
      </c>
      <c r="F1267">
        <v>32.2622</v>
      </c>
      <c r="G1267">
        <v>-107.7206</v>
      </c>
      <c r="H1267">
        <v>-7</v>
      </c>
      <c r="I1267">
        <v>1310.9</v>
      </c>
      <c r="J1267" t="str">
        <f>HYPERLINK("https://climate.onebuilding.org/WMO_Region_4_North_and_Central_America/USA_United_States_of_America/NM_New_Mexico/USA_NM_Deming.Muni.AP.722725_US.Normals.2006-2020.zip")</f>
        <v>https://climate.onebuilding.org/WMO_Region_4_North_and_Central_America/USA_United_States_of_America/NM_New_Mexico/USA_NM_Deming.Muni.AP.722725_US.Normals.2006-2020.zip</v>
      </c>
    </row>
    <row r="1268" spans="1:10" x14ac:dyDescent="0.25">
      <c r="A1268" t="s">
        <v>35</v>
      </c>
      <c r="B1268" t="s">
        <v>787</v>
      </c>
      <c r="C1268" t="s">
        <v>795</v>
      </c>
      <c r="D1268" s="2">
        <v>723658</v>
      </c>
      <c r="E1268" t="s">
        <v>13</v>
      </c>
      <c r="F1268">
        <v>36.743600000000001</v>
      </c>
      <c r="G1268">
        <v>-108.22920000000001</v>
      </c>
      <c r="H1268">
        <v>-7</v>
      </c>
      <c r="I1268">
        <v>1674.9</v>
      </c>
      <c r="J1268" t="str">
        <f>HYPERLINK("https://climate.onebuilding.org/WMO_Region_4_North_and_Central_America/USA_United_States_of_America/NM_New_Mexico/USA_NM_Farmington-Four.Corners.Rgnl.AP.723658_US.Normals.1981-2010.zip")</f>
        <v>https://climate.onebuilding.org/WMO_Region_4_North_and_Central_America/USA_United_States_of_America/NM_New_Mexico/USA_NM_Farmington-Four.Corners.Rgnl.AP.723658_US.Normals.1981-2010.zip</v>
      </c>
    </row>
    <row r="1269" spans="1:10" x14ac:dyDescent="0.25">
      <c r="A1269" t="s">
        <v>35</v>
      </c>
      <c r="B1269" t="s">
        <v>787</v>
      </c>
      <c r="C1269" t="s">
        <v>795</v>
      </c>
      <c r="D1269" s="2">
        <v>723658</v>
      </c>
      <c r="E1269" t="s">
        <v>13</v>
      </c>
      <c r="F1269">
        <v>36.743600000000001</v>
      </c>
      <c r="G1269">
        <v>-108.22920000000001</v>
      </c>
      <c r="H1269">
        <v>-7</v>
      </c>
      <c r="I1269">
        <v>1674.9</v>
      </c>
      <c r="J1269" t="str">
        <f>HYPERLINK("https://climate.onebuilding.org/WMO_Region_4_North_and_Central_America/USA_United_States_of_America/NM_New_Mexico/USA_NM_Farmington-Four.Corners.Rgnl.AP.723658_US.Normals.1991-2020.zip")</f>
        <v>https://climate.onebuilding.org/WMO_Region_4_North_and_Central_America/USA_United_States_of_America/NM_New_Mexico/USA_NM_Farmington-Four.Corners.Rgnl.AP.723658_US.Normals.1991-2020.zip</v>
      </c>
    </row>
    <row r="1270" spans="1:10" x14ac:dyDescent="0.25">
      <c r="A1270" t="s">
        <v>35</v>
      </c>
      <c r="B1270" t="s">
        <v>787</v>
      </c>
      <c r="C1270" t="s">
        <v>795</v>
      </c>
      <c r="D1270" s="2">
        <v>723658</v>
      </c>
      <c r="E1270" t="s">
        <v>13</v>
      </c>
      <c r="F1270">
        <v>36.743600000000001</v>
      </c>
      <c r="G1270">
        <v>-108.22920000000001</v>
      </c>
      <c r="H1270">
        <v>-7</v>
      </c>
      <c r="I1270">
        <v>1674.9</v>
      </c>
      <c r="J1270" t="str">
        <f>HYPERLINK("https://climate.onebuilding.org/WMO_Region_4_North_and_Central_America/USA_United_States_of_America/NM_New_Mexico/USA_NM_Farmington-Four.Corners.Rgnl.AP.723658_US.Normals.2006-2020.zip")</f>
        <v>https://climate.onebuilding.org/WMO_Region_4_North_and_Central_America/USA_United_States_of_America/NM_New_Mexico/USA_NM_Farmington-Four.Corners.Rgnl.AP.723658_US.Normals.2006-2020.zip</v>
      </c>
    </row>
    <row r="1271" spans="1:10" x14ac:dyDescent="0.25">
      <c r="A1271" t="s">
        <v>35</v>
      </c>
      <c r="B1271" t="s">
        <v>787</v>
      </c>
      <c r="C1271" t="s">
        <v>796</v>
      </c>
      <c r="D1271" s="2">
        <v>723627</v>
      </c>
      <c r="E1271" t="s">
        <v>13</v>
      </c>
      <c r="F1271">
        <v>35.514400000000002</v>
      </c>
      <c r="G1271">
        <v>-108.79389999999999</v>
      </c>
      <c r="H1271">
        <v>-7</v>
      </c>
      <c r="I1271">
        <v>1972.4</v>
      </c>
      <c r="J1271" t="str">
        <f>HYPERLINK("https://climate.onebuilding.org/WMO_Region_4_North_and_Central_America/USA_United_States_of_America/NM_New_Mexico/USA_NM_Gallup.Muni.AP.723627_US.Normals.1981-2010.zip")</f>
        <v>https://climate.onebuilding.org/WMO_Region_4_North_and_Central_America/USA_United_States_of_America/NM_New_Mexico/USA_NM_Gallup.Muni.AP.723627_US.Normals.1981-2010.zip</v>
      </c>
    </row>
    <row r="1272" spans="1:10" x14ac:dyDescent="0.25">
      <c r="A1272" t="s">
        <v>35</v>
      </c>
      <c r="B1272" t="s">
        <v>787</v>
      </c>
      <c r="C1272" t="s">
        <v>796</v>
      </c>
      <c r="D1272" s="2">
        <v>723627</v>
      </c>
      <c r="E1272" t="s">
        <v>13</v>
      </c>
      <c r="F1272">
        <v>35.514400000000002</v>
      </c>
      <c r="G1272">
        <v>-108.79389999999999</v>
      </c>
      <c r="H1272">
        <v>-7</v>
      </c>
      <c r="I1272">
        <v>1972.4</v>
      </c>
      <c r="J1272" t="str">
        <f>HYPERLINK("https://climate.onebuilding.org/WMO_Region_4_North_and_Central_America/USA_United_States_of_America/NM_New_Mexico/USA_NM_Gallup.Muni.AP.723627_US.Normals.1991-2020.zip")</f>
        <v>https://climate.onebuilding.org/WMO_Region_4_North_and_Central_America/USA_United_States_of_America/NM_New_Mexico/USA_NM_Gallup.Muni.AP.723627_US.Normals.1991-2020.zip</v>
      </c>
    </row>
    <row r="1273" spans="1:10" x14ac:dyDescent="0.25">
      <c r="A1273" t="s">
        <v>35</v>
      </c>
      <c r="B1273" t="s">
        <v>787</v>
      </c>
      <c r="C1273" t="s">
        <v>796</v>
      </c>
      <c r="D1273" s="2">
        <v>723627</v>
      </c>
      <c r="E1273" t="s">
        <v>13</v>
      </c>
      <c r="F1273">
        <v>35.514400000000002</v>
      </c>
      <c r="G1273">
        <v>-108.79389999999999</v>
      </c>
      <c r="H1273">
        <v>-7</v>
      </c>
      <c r="I1273">
        <v>1972.4</v>
      </c>
      <c r="J1273" t="str">
        <f>HYPERLINK("https://climate.onebuilding.org/WMO_Region_4_North_and_Central_America/USA_United_States_of_America/NM_New_Mexico/USA_NM_Gallup.Muni.AP.723627_US.Normals.2006-2020.zip")</f>
        <v>https://climate.onebuilding.org/WMO_Region_4_North_and_Central_America/USA_United_States_of_America/NM_New_Mexico/USA_NM_Gallup.Muni.AP.723627_US.Normals.2006-2020.zip</v>
      </c>
    </row>
    <row r="1274" spans="1:10" x14ac:dyDescent="0.25">
      <c r="A1274" t="s">
        <v>35</v>
      </c>
      <c r="B1274" t="s">
        <v>787</v>
      </c>
      <c r="C1274" t="s">
        <v>797</v>
      </c>
      <c r="D1274" s="2">
        <v>723625</v>
      </c>
      <c r="E1274" t="s">
        <v>13</v>
      </c>
      <c r="F1274">
        <v>35.166400000000003</v>
      </c>
      <c r="G1274">
        <v>-107.89919999999999</v>
      </c>
      <c r="H1274">
        <v>-7</v>
      </c>
      <c r="I1274">
        <v>1987.3</v>
      </c>
      <c r="J1274" t="str">
        <f>HYPERLINK("https://climate.onebuilding.org/WMO_Region_4_North_and_Central_America/USA_United_States_of_America/NM_New_Mexico/USA_NM_Grants-Milan.Muni.AP.723625_US.Normals.2006-2020.zip")</f>
        <v>https://climate.onebuilding.org/WMO_Region_4_North_and_Central_America/USA_United_States_of_America/NM_New_Mexico/USA_NM_Grants-Milan.Muni.AP.723625_US.Normals.2006-2020.zip</v>
      </c>
    </row>
    <row r="1275" spans="1:10" x14ac:dyDescent="0.25">
      <c r="A1275" t="s">
        <v>35</v>
      </c>
      <c r="B1275" t="s">
        <v>787</v>
      </c>
      <c r="C1275" t="s">
        <v>798</v>
      </c>
      <c r="D1275" s="2">
        <v>746320</v>
      </c>
      <c r="E1275" t="s">
        <v>13</v>
      </c>
      <c r="F1275">
        <v>32.613599999999998</v>
      </c>
      <c r="G1275">
        <v>-106.7414</v>
      </c>
      <c r="H1275">
        <v>-7</v>
      </c>
      <c r="I1275">
        <v>1318.9</v>
      </c>
      <c r="J1275" t="str">
        <f>HYPERLINK("https://climate.onebuilding.org/WMO_Region_4_North_and_Central_America/USA_United_States_of_America/NM_New_Mexico/USA_NM_Las.Cruces.20.N.746320_US.Normals.2006-2020.zip")</f>
        <v>https://climate.onebuilding.org/WMO_Region_4_North_and_Central_America/USA_United_States_of_America/NM_New_Mexico/USA_NM_Las.Cruces.20.N.746320_US.Normals.2006-2020.zip</v>
      </c>
    </row>
    <row r="1276" spans="1:10" x14ac:dyDescent="0.25">
      <c r="A1276" t="s">
        <v>35</v>
      </c>
      <c r="B1276" t="s">
        <v>787</v>
      </c>
      <c r="C1276" t="s">
        <v>799</v>
      </c>
      <c r="D1276" s="2">
        <v>723677</v>
      </c>
      <c r="E1276" t="s">
        <v>13</v>
      </c>
      <c r="F1276">
        <v>35.654200000000003</v>
      </c>
      <c r="G1276">
        <v>-105.14190000000001</v>
      </c>
      <c r="H1276">
        <v>-7</v>
      </c>
      <c r="I1276">
        <v>2095.1999999999998</v>
      </c>
      <c r="J1276" t="str">
        <f>HYPERLINK("https://climate.onebuilding.org/WMO_Region_4_North_and_Central_America/USA_United_States_of_America/NM_New_Mexico/USA_NM_Las.Vegas.Muni.AP.723677_US.Normals.2006-2020.zip")</f>
        <v>https://climate.onebuilding.org/WMO_Region_4_North_and_Central_America/USA_United_States_of_America/NM_New_Mexico/USA_NM_Las.Vegas.Muni.AP.723677_US.Normals.2006-2020.zip</v>
      </c>
    </row>
    <row r="1277" spans="1:10" x14ac:dyDescent="0.25">
      <c r="A1277" t="s">
        <v>35</v>
      </c>
      <c r="B1277" t="s">
        <v>787</v>
      </c>
      <c r="C1277" t="s">
        <v>800</v>
      </c>
      <c r="D1277" s="2">
        <v>722678</v>
      </c>
      <c r="E1277" t="s">
        <v>13</v>
      </c>
      <c r="F1277">
        <v>36.741399999999999</v>
      </c>
      <c r="G1277">
        <v>-104.5022</v>
      </c>
      <c r="H1277">
        <v>-7</v>
      </c>
      <c r="I1277">
        <v>1935.2</v>
      </c>
      <c r="J1277" t="str">
        <f>HYPERLINK("https://climate.onebuilding.org/WMO_Region_4_North_and_Central_America/USA_United_States_of_America/NM_New_Mexico/USA_NM_Raton.Muni.AP-Crews.Field.722678_US.Normals.2006-2020.zip")</f>
        <v>https://climate.onebuilding.org/WMO_Region_4_North_and_Central_America/USA_United_States_of_America/NM_New_Mexico/USA_NM_Raton.Muni.AP-Crews.Field.722678_US.Normals.2006-2020.zip</v>
      </c>
    </row>
    <row r="1278" spans="1:10" x14ac:dyDescent="0.25">
      <c r="A1278" t="s">
        <v>35</v>
      </c>
      <c r="B1278" t="s">
        <v>787</v>
      </c>
      <c r="C1278" t="s">
        <v>801</v>
      </c>
      <c r="D1278" s="2">
        <v>722680</v>
      </c>
      <c r="E1278" t="s">
        <v>13</v>
      </c>
      <c r="F1278">
        <v>33.307499999999997</v>
      </c>
      <c r="G1278">
        <v>-104.50830000000001</v>
      </c>
      <c r="H1278">
        <v>-7</v>
      </c>
      <c r="I1278">
        <v>1112.2</v>
      </c>
      <c r="J1278" t="str">
        <f>HYPERLINK("https://climate.onebuilding.org/WMO_Region_4_North_and_Central_America/USA_United_States_of_America/NM_New_Mexico/USA_NM_Roswell.Intl.Air.Center.722680_US.Normals.1981-2010.zip")</f>
        <v>https://climate.onebuilding.org/WMO_Region_4_North_and_Central_America/USA_United_States_of_America/NM_New_Mexico/USA_NM_Roswell.Intl.Air.Center.722680_US.Normals.1981-2010.zip</v>
      </c>
    </row>
    <row r="1279" spans="1:10" x14ac:dyDescent="0.25">
      <c r="A1279" t="s">
        <v>35</v>
      </c>
      <c r="B1279" t="s">
        <v>787</v>
      </c>
      <c r="C1279" t="s">
        <v>801</v>
      </c>
      <c r="D1279" s="2">
        <v>722680</v>
      </c>
      <c r="E1279" t="s">
        <v>13</v>
      </c>
      <c r="F1279">
        <v>33.307499999999997</v>
      </c>
      <c r="G1279">
        <v>-104.50830000000001</v>
      </c>
      <c r="H1279">
        <v>-7</v>
      </c>
      <c r="I1279">
        <v>1112.2</v>
      </c>
      <c r="J1279" t="str">
        <f>HYPERLINK("https://climate.onebuilding.org/WMO_Region_4_North_and_Central_America/USA_United_States_of_America/NM_New_Mexico/USA_NM_Roswell.Intl.Air.Center.722680_US.Normals.1991-2020.zip")</f>
        <v>https://climate.onebuilding.org/WMO_Region_4_North_and_Central_America/USA_United_States_of_America/NM_New_Mexico/USA_NM_Roswell.Intl.Air.Center.722680_US.Normals.1991-2020.zip</v>
      </c>
    </row>
    <row r="1280" spans="1:10" x14ac:dyDescent="0.25">
      <c r="A1280" t="s">
        <v>35</v>
      </c>
      <c r="B1280" t="s">
        <v>787</v>
      </c>
      <c r="C1280" t="s">
        <v>801</v>
      </c>
      <c r="D1280" s="2">
        <v>722680</v>
      </c>
      <c r="E1280" t="s">
        <v>13</v>
      </c>
      <c r="F1280">
        <v>33.307499999999997</v>
      </c>
      <c r="G1280">
        <v>-104.50830000000001</v>
      </c>
      <c r="H1280">
        <v>-7</v>
      </c>
      <c r="I1280">
        <v>1112.2</v>
      </c>
      <c r="J1280" t="str">
        <f>HYPERLINK("https://climate.onebuilding.org/WMO_Region_4_North_and_Central_America/USA_United_States_of_America/NM_New_Mexico/USA_NM_Roswell.Intl.Air.Center.722680_US.Normals.2006-2020.zip")</f>
        <v>https://climate.onebuilding.org/WMO_Region_4_North_and_Central_America/USA_United_States_of_America/NM_New_Mexico/USA_NM_Roswell.Intl.Air.Center.722680_US.Normals.2006-2020.zip</v>
      </c>
    </row>
    <row r="1281" spans="1:10" x14ac:dyDescent="0.25">
      <c r="A1281" t="s">
        <v>35</v>
      </c>
      <c r="B1281" t="s">
        <v>787</v>
      </c>
      <c r="C1281" t="s">
        <v>802</v>
      </c>
      <c r="D1281" s="2">
        <v>723656</v>
      </c>
      <c r="E1281" t="s">
        <v>13</v>
      </c>
      <c r="F1281">
        <v>35.616900000000001</v>
      </c>
      <c r="G1281">
        <v>-106.0889</v>
      </c>
      <c r="H1281">
        <v>-7</v>
      </c>
      <c r="I1281">
        <v>1933.7</v>
      </c>
      <c r="J1281" t="str">
        <f>HYPERLINK("https://climate.onebuilding.org/WMO_Region_4_North_and_Central_America/USA_United_States_of_America/NM_New_Mexico/USA_NM_Santa.Fe.Muni.AP.723656_US.Normals.2006-2020.zip")</f>
        <v>https://climate.onebuilding.org/WMO_Region_4_North_and_Central_America/USA_United_States_of_America/NM_New_Mexico/USA_NM_Santa.Fe.Muni.AP.723656_US.Normals.2006-2020.zip</v>
      </c>
    </row>
    <row r="1282" spans="1:10" x14ac:dyDescent="0.25">
      <c r="A1282" t="s">
        <v>35</v>
      </c>
      <c r="B1282" t="s">
        <v>787</v>
      </c>
      <c r="C1282" t="s">
        <v>803</v>
      </c>
      <c r="D1282" s="2">
        <v>746340</v>
      </c>
      <c r="E1282" t="s">
        <v>13</v>
      </c>
      <c r="F1282">
        <v>34.355800000000002</v>
      </c>
      <c r="G1282">
        <v>-106.8858</v>
      </c>
      <c r="H1282">
        <v>-7</v>
      </c>
      <c r="I1282">
        <v>1477.4</v>
      </c>
      <c r="J1282" t="str">
        <f>HYPERLINK("https://climate.onebuilding.org/WMO_Region_4_North_and_Central_America/USA_United_States_of_America/NM_New_Mexico/USA_NM_Sevilleta.Natl.Wildlife.Refuge.746340_US.Normals.2006-2020.zip")</f>
        <v>https://climate.onebuilding.org/WMO_Region_4_North_and_Central_America/USA_United_States_of_America/NM_New_Mexico/USA_NM_Sevilleta.Natl.Wildlife.Refuge.746340_US.Normals.2006-2020.zip</v>
      </c>
    </row>
    <row r="1283" spans="1:10" x14ac:dyDescent="0.25">
      <c r="A1283" t="s">
        <v>35</v>
      </c>
      <c r="B1283" t="s">
        <v>787</v>
      </c>
      <c r="C1283" t="s">
        <v>804</v>
      </c>
      <c r="D1283" s="2">
        <v>722710</v>
      </c>
      <c r="E1283" t="s">
        <v>13</v>
      </c>
      <c r="F1283">
        <v>33.236699999999999</v>
      </c>
      <c r="G1283">
        <v>-107.2681</v>
      </c>
      <c r="H1283">
        <v>-7</v>
      </c>
      <c r="I1283">
        <v>1478.3</v>
      </c>
      <c r="J1283" t="str">
        <f>HYPERLINK("https://climate.onebuilding.org/WMO_Region_4_North_and_Central_America/USA_United_States_of_America/NM_New_Mexico/USA_NM_Truth.or.Consequences.Muni.AP.722710_US.Normals.1991-2020.zip")</f>
        <v>https://climate.onebuilding.org/WMO_Region_4_North_and_Central_America/USA_United_States_of_America/NM_New_Mexico/USA_NM_Truth.or.Consequences.Muni.AP.722710_US.Normals.1991-2020.zip</v>
      </c>
    </row>
    <row r="1284" spans="1:10" x14ac:dyDescent="0.25">
      <c r="A1284" t="s">
        <v>35</v>
      </c>
      <c r="B1284" t="s">
        <v>787</v>
      </c>
      <c r="C1284" t="s">
        <v>804</v>
      </c>
      <c r="D1284" s="2">
        <v>722710</v>
      </c>
      <c r="E1284" t="s">
        <v>13</v>
      </c>
      <c r="F1284">
        <v>33.236699999999999</v>
      </c>
      <c r="G1284">
        <v>-107.2681</v>
      </c>
      <c r="H1284">
        <v>-7</v>
      </c>
      <c r="I1284">
        <v>1478.3</v>
      </c>
      <c r="J1284" t="str">
        <f>HYPERLINK("https://climate.onebuilding.org/WMO_Region_4_North_and_Central_America/USA_United_States_of_America/NM_New_Mexico/USA_NM_Truth.or.Consequences.Muni.AP.722710_US.Normals.2006-2020.zip")</f>
        <v>https://climate.onebuilding.org/WMO_Region_4_North_and_Central_America/USA_United_States_of_America/NM_New_Mexico/USA_NM_Truth.or.Consequences.Muni.AP.722710_US.Normals.2006-2020.zip</v>
      </c>
    </row>
    <row r="1285" spans="1:10" x14ac:dyDescent="0.25">
      <c r="A1285" t="s">
        <v>35</v>
      </c>
      <c r="B1285" t="s">
        <v>787</v>
      </c>
      <c r="C1285" t="s">
        <v>805</v>
      </c>
      <c r="D1285" s="2">
        <v>723676</v>
      </c>
      <c r="E1285" t="s">
        <v>13</v>
      </c>
      <c r="F1285">
        <v>35.182200000000002</v>
      </c>
      <c r="G1285">
        <v>-103.6031</v>
      </c>
      <c r="H1285">
        <v>-7</v>
      </c>
      <c r="I1285">
        <v>1239</v>
      </c>
      <c r="J1285" t="str">
        <f>HYPERLINK("https://climate.onebuilding.org/WMO_Region_4_North_and_Central_America/USA_United_States_of_America/NM_New_Mexico/USA_NM_Tucumcari.Muni.AP.723676_US.Normals.2006-2020.zip")</f>
        <v>https://climate.onebuilding.org/WMO_Region_4_North_and_Central_America/USA_United_States_of_America/NM_New_Mexico/USA_NM_Tucumcari.Muni.AP.723676_US.Normals.2006-2020.zip</v>
      </c>
    </row>
    <row r="1286" spans="1:10" x14ac:dyDescent="0.25">
      <c r="A1286" t="s">
        <v>35</v>
      </c>
      <c r="B1286" t="s">
        <v>787</v>
      </c>
      <c r="C1286" t="s">
        <v>806</v>
      </c>
      <c r="D1286" s="2">
        <v>746330</v>
      </c>
      <c r="E1286" t="s">
        <v>13</v>
      </c>
      <c r="F1286">
        <v>35.8583</v>
      </c>
      <c r="G1286">
        <v>-106.5214</v>
      </c>
      <c r="H1286">
        <v>-7</v>
      </c>
      <c r="I1286">
        <v>2656.6</v>
      </c>
      <c r="J1286" t="str">
        <f>HYPERLINK("https://climate.onebuilding.org/WMO_Region_4_North_and_Central_America/USA_United_States_of_America/NM_New_Mexico/USA_NM_Valles.Caldera.Natl.Preserve.746330_US.Normals.2006-2020.zip")</f>
        <v>https://climate.onebuilding.org/WMO_Region_4_North_and_Central_America/USA_United_States_of_America/NM_New_Mexico/USA_NM_Valles.Caldera.Natl.Preserve.746330_US.Normals.2006-2020.zip</v>
      </c>
    </row>
    <row r="1287" spans="1:10" x14ac:dyDescent="0.25">
      <c r="A1287" t="s">
        <v>35</v>
      </c>
      <c r="B1287" t="s">
        <v>807</v>
      </c>
      <c r="C1287" t="s">
        <v>808</v>
      </c>
      <c r="D1287" s="2">
        <v>723880</v>
      </c>
      <c r="E1287" t="s">
        <v>13</v>
      </c>
      <c r="F1287">
        <v>39.011699999999998</v>
      </c>
      <c r="G1287">
        <v>-114.2089</v>
      </c>
      <c r="H1287">
        <v>-8</v>
      </c>
      <c r="I1287">
        <v>2016.9</v>
      </c>
      <c r="J1287" t="str">
        <f>HYPERLINK("https://climate.onebuilding.org/WMO_Region_4_North_and_Central_America/USA_United_States_of_America/NV_Nevada/USA_NV_Baker-Great.Basin.Lehman.Caves.Natl.Park.723880_US.Normals.2006-2020.zip")</f>
        <v>https://climate.onebuilding.org/WMO_Region_4_North_and_Central_America/USA_United_States_of_America/NV_Nevada/USA_NV_Baker-Great.Basin.Lehman.Caves.Natl.Park.723880_US.Normals.2006-2020.zip</v>
      </c>
    </row>
    <row r="1288" spans="1:10" x14ac:dyDescent="0.25">
      <c r="A1288" t="s">
        <v>35</v>
      </c>
      <c r="B1288" t="s">
        <v>807</v>
      </c>
      <c r="C1288" t="s">
        <v>809</v>
      </c>
      <c r="D1288" s="2">
        <v>746141</v>
      </c>
      <c r="E1288" t="s">
        <v>13</v>
      </c>
      <c r="F1288">
        <v>36.583300000000001</v>
      </c>
      <c r="G1288">
        <v>-115.6833</v>
      </c>
      <c r="H1288">
        <v>-8</v>
      </c>
      <c r="I1288">
        <v>951.9</v>
      </c>
      <c r="J1288" t="str">
        <f>HYPERLINK("https://climate.onebuilding.org/WMO_Region_4_North_and_Central_America/USA_United_States_of_America/NV_Nevada/USA_NV_Creech.AFB-Indian.Springs.Gunnery.Range.746141_US.Normals.2006-2020.zip")</f>
        <v>https://climate.onebuilding.org/WMO_Region_4_North_and_Central_America/USA_United_States_of_America/NV_Nevada/USA_NV_Creech.AFB-Indian.Springs.Gunnery.Range.746141_US.Normals.2006-2020.zip</v>
      </c>
    </row>
    <row r="1289" spans="1:10" x14ac:dyDescent="0.25">
      <c r="A1289" t="s">
        <v>35</v>
      </c>
      <c r="B1289" t="s">
        <v>807</v>
      </c>
      <c r="C1289" t="s">
        <v>810</v>
      </c>
      <c r="D1289" s="2">
        <v>723870</v>
      </c>
      <c r="E1289" t="s">
        <v>13</v>
      </c>
      <c r="F1289">
        <v>36.620600000000003</v>
      </c>
      <c r="G1289">
        <v>-116.0278</v>
      </c>
      <c r="H1289">
        <v>-8</v>
      </c>
      <c r="I1289">
        <v>984.5</v>
      </c>
      <c r="J1289" t="str">
        <f>HYPERLINK("https://climate.onebuilding.org/WMO_Region_4_North_and_Central_America/USA_United_States_of_America/NV_Nevada/USA_NV_Desert.Rock.AP.723870_US.Normals.1981-2010.zip")</f>
        <v>https://climate.onebuilding.org/WMO_Region_4_North_and_Central_America/USA_United_States_of_America/NV_Nevada/USA_NV_Desert.Rock.AP.723870_US.Normals.1981-2010.zip</v>
      </c>
    </row>
    <row r="1290" spans="1:10" x14ac:dyDescent="0.25">
      <c r="A1290" t="s">
        <v>35</v>
      </c>
      <c r="B1290" t="s">
        <v>807</v>
      </c>
      <c r="C1290" t="s">
        <v>810</v>
      </c>
      <c r="D1290" s="2">
        <v>723870</v>
      </c>
      <c r="E1290" t="s">
        <v>13</v>
      </c>
      <c r="F1290">
        <v>36.620600000000003</v>
      </c>
      <c r="G1290">
        <v>-116.0278</v>
      </c>
      <c r="H1290">
        <v>-8</v>
      </c>
      <c r="I1290">
        <v>984.5</v>
      </c>
      <c r="J1290" t="str">
        <f>HYPERLINK("https://climate.onebuilding.org/WMO_Region_4_North_and_Central_America/USA_United_States_of_America/NV_Nevada/USA_NV_Desert.Rock.AP.723870_US.Normals.1991-2020.zip")</f>
        <v>https://climate.onebuilding.org/WMO_Region_4_North_and_Central_America/USA_United_States_of_America/NV_Nevada/USA_NV_Desert.Rock.AP.723870_US.Normals.1991-2020.zip</v>
      </c>
    </row>
    <row r="1291" spans="1:10" x14ac:dyDescent="0.25">
      <c r="A1291" t="s">
        <v>35</v>
      </c>
      <c r="B1291" t="s">
        <v>807</v>
      </c>
      <c r="C1291" t="s">
        <v>810</v>
      </c>
      <c r="D1291" s="2">
        <v>723870</v>
      </c>
      <c r="E1291" t="s">
        <v>13</v>
      </c>
      <c r="F1291">
        <v>36.620600000000003</v>
      </c>
      <c r="G1291">
        <v>-116.0278</v>
      </c>
      <c r="H1291">
        <v>-8</v>
      </c>
      <c r="I1291">
        <v>984.5</v>
      </c>
      <c r="J1291" t="str">
        <f>HYPERLINK("https://climate.onebuilding.org/WMO_Region_4_North_and_Central_America/USA_United_States_of_America/NV_Nevada/USA_NV_Desert.Rock.AP.723870_US.Normals.2006-2020.zip")</f>
        <v>https://climate.onebuilding.org/WMO_Region_4_North_and_Central_America/USA_United_States_of_America/NV_Nevada/USA_NV_Desert.Rock.AP.723870_US.Normals.2006-2020.zip</v>
      </c>
    </row>
    <row r="1292" spans="1:10" x14ac:dyDescent="0.25">
      <c r="A1292" t="s">
        <v>35</v>
      </c>
      <c r="B1292" t="s">
        <v>807</v>
      </c>
      <c r="C1292" t="s">
        <v>811</v>
      </c>
      <c r="D1292" s="2">
        <v>723920</v>
      </c>
      <c r="E1292" t="s">
        <v>13</v>
      </c>
      <c r="F1292">
        <v>36.623899999999999</v>
      </c>
      <c r="G1292">
        <v>-116.02249999999999</v>
      </c>
      <c r="H1292">
        <v>-8</v>
      </c>
      <c r="I1292">
        <v>1001</v>
      </c>
      <c r="J1292" t="str">
        <f>HYPERLINK("https://climate.onebuilding.org/WMO_Region_4_North_and_Central_America/USA_United_States_of_America/NV_Nevada/USA_NV_Desert.Rock.SURFRAD.723920_US.Normals.2006-2020.zip")</f>
        <v>https://climate.onebuilding.org/WMO_Region_4_North_and_Central_America/USA_United_States_of_America/NV_Nevada/USA_NV_Desert.Rock.SURFRAD.723920_US.Normals.2006-2020.zip</v>
      </c>
    </row>
    <row r="1293" spans="1:10" x14ac:dyDescent="0.25">
      <c r="A1293" t="s">
        <v>35</v>
      </c>
      <c r="B1293" t="s">
        <v>807</v>
      </c>
      <c r="C1293" t="s">
        <v>812</v>
      </c>
      <c r="D1293" s="2">
        <v>725825</v>
      </c>
      <c r="E1293" t="s">
        <v>13</v>
      </c>
      <c r="F1293">
        <v>40.828899999999997</v>
      </c>
      <c r="G1293">
        <v>-115.7886</v>
      </c>
      <c r="H1293">
        <v>-8</v>
      </c>
      <c r="I1293">
        <v>1533.1</v>
      </c>
      <c r="J1293" t="str">
        <f>HYPERLINK("https://climate.onebuilding.org/WMO_Region_4_North_and_Central_America/USA_United_States_of_America/NV_Nevada/USA_NV_Elko.Rgnl.AP-Harris.Field.725825_US.Normals.1991-2020.zip")</f>
        <v>https://climate.onebuilding.org/WMO_Region_4_North_and_Central_America/USA_United_States_of_America/NV_Nevada/USA_NV_Elko.Rgnl.AP-Harris.Field.725825_US.Normals.1991-2020.zip</v>
      </c>
    </row>
    <row r="1294" spans="1:10" x14ac:dyDescent="0.25">
      <c r="A1294" t="s">
        <v>35</v>
      </c>
      <c r="B1294" t="s">
        <v>807</v>
      </c>
      <c r="C1294" t="s">
        <v>812</v>
      </c>
      <c r="D1294" s="2">
        <v>725825</v>
      </c>
      <c r="E1294" t="s">
        <v>13</v>
      </c>
      <c r="F1294">
        <v>40.828899999999997</v>
      </c>
      <c r="G1294">
        <v>-115.7886</v>
      </c>
      <c r="H1294">
        <v>-8</v>
      </c>
      <c r="I1294">
        <v>1533.1</v>
      </c>
      <c r="J1294" t="str">
        <f>HYPERLINK("https://climate.onebuilding.org/WMO_Region_4_North_and_Central_America/USA_United_States_of_America/NV_Nevada/USA_NV_Elko.Rgnl.AP-Harris.Field.725825_US.Normals.2006-2020.zip")</f>
        <v>https://climate.onebuilding.org/WMO_Region_4_North_and_Central_America/USA_United_States_of_America/NV_Nevada/USA_NV_Elko.Rgnl.AP-Harris.Field.725825_US.Normals.2006-2020.zip</v>
      </c>
    </row>
    <row r="1295" spans="1:10" x14ac:dyDescent="0.25">
      <c r="A1295" t="s">
        <v>35</v>
      </c>
      <c r="B1295" t="s">
        <v>807</v>
      </c>
      <c r="C1295" t="s">
        <v>813</v>
      </c>
      <c r="D1295" s="2">
        <v>724860</v>
      </c>
      <c r="E1295" t="s">
        <v>13</v>
      </c>
      <c r="F1295">
        <v>39.295299999999997</v>
      </c>
      <c r="G1295">
        <v>-114.8467</v>
      </c>
      <c r="H1295">
        <v>-8</v>
      </c>
      <c r="I1295">
        <v>1908.7</v>
      </c>
      <c r="J1295" t="str">
        <f>HYPERLINK("https://climate.onebuilding.org/WMO_Region_4_North_and_Central_America/USA_United_States_of_America/NV_Nevada/USA_NV_Ely.AP-Yelland.Field.724860_US.Normals.1981-2010.zip")</f>
        <v>https://climate.onebuilding.org/WMO_Region_4_North_and_Central_America/USA_United_States_of_America/NV_Nevada/USA_NV_Ely.AP-Yelland.Field.724860_US.Normals.1981-2010.zip</v>
      </c>
    </row>
    <row r="1296" spans="1:10" x14ac:dyDescent="0.25">
      <c r="A1296" t="s">
        <v>35</v>
      </c>
      <c r="B1296" t="s">
        <v>807</v>
      </c>
      <c r="C1296" t="s">
        <v>813</v>
      </c>
      <c r="D1296" s="2">
        <v>724860</v>
      </c>
      <c r="E1296" t="s">
        <v>13</v>
      </c>
      <c r="F1296">
        <v>39.295299999999997</v>
      </c>
      <c r="G1296">
        <v>-114.8467</v>
      </c>
      <c r="H1296">
        <v>-8</v>
      </c>
      <c r="I1296">
        <v>1908.7</v>
      </c>
      <c r="J1296" t="str">
        <f>HYPERLINK("https://climate.onebuilding.org/WMO_Region_4_North_and_Central_America/USA_United_States_of_America/NV_Nevada/USA_NV_Ely.AP-Yelland.Field.724860_US.Normals.1991-2020.zip")</f>
        <v>https://climate.onebuilding.org/WMO_Region_4_North_and_Central_America/USA_United_States_of_America/NV_Nevada/USA_NV_Ely.AP-Yelland.Field.724860_US.Normals.1991-2020.zip</v>
      </c>
    </row>
    <row r="1297" spans="1:10" x14ac:dyDescent="0.25">
      <c r="A1297" t="s">
        <v>35</v>
      </c>
      <c r="B1297" t="s">
        <v>807</v>
      </c>
      <c r="C1297" t="s">
        <v>813</v>
      </c>
      <c r="D1297" s="2">
        <v>724860</v>
      </c>
      <c r="E1297" t="s">
        <v>13</v>
      </c>
      <c r="F1297">
        <v>39.295299999999997</v>
      </c>
      <c r="G1297">
        <v>-114.8467</v>
      </c>
      <c r="H1297">
        <v>-8</v>
      </c>
      <c r="I1297">
        <v>1908.7</v>
      </c>
      <c r="J1297" t="str">
        <f>HYPERLINK("https://climate.onebuilding.org/WMO_Region_4_North_and_Central_America/USA_United_States_of_America/NV_Nevada/USA_NV_Ely.AP-Yelland.Field.724860_US.Normals.2006-2020.zip")</f>
        <v>https://climate.onebuilding.org/WMO_Region_4_North_and_Central_America/USA_United_States_of_America/NV_Nevada/USA_NV_Ely.AP-Yelland.Field.724860_US.Normals.2006-2020.zip</v>
      </c>
    </row>
    <row r="1298" spans="1:10" x14ac:dyDescent="0.25">
      <c r="A1298" t="s">
        <v>35</v>
      </c>
      <c r="B1298" t="s">
        <v>807</v>
      </c>
      <c r="C1298" t="s">
        <v>814</v>
      </c>
      <c r="D1298" s="2">
        <v>724770</v>
      </c>
      <c r="E1298" t="s">
        <v>13</v>
      </c>
      <c r="F1298">
        <v>39.601399999999998</v>
      </c>
      <c r="G1298">
        <v>-116.0056</v>
      </c>
      <c r="H1298">
        <v>-8</v>
      </c>
      <c r="I1298">
        <v>1809.3</v>
      </c>
      <c r="J1298" t="str">
        <f>HYPERLINK("https://climate.onebuilding.org/WMO_Region_4_North_and_Central_America/USA_United_States_of_America/NV_Nevada/USA_NV_Eureka.AP-Bailey.Field.724770_US.Normals.2006-2020.zip")</f>
        <v>https://climate.onebuilding.org/WMO_Region_4_North_and_Central_America/USA_United_States_of_America/NV_Nevada/USA_NV_Eureka.AP-Bailey.Field.724770_US.Normals.2006-2020.zip</v>
      </c>
    </row>
    <row r="1299" spans="1:10" x14ac:dyDescent="0.25">
      <c r="A1299" t="s">
        <v>35</v>
      </c>
      <c r="B1299" t="s">
        <v>807</v>
      </c>
      <c r="C1299" t="s">
        <v>815</v>
      </c>
      <c r="D1299" s="2">
        <v>723860</v>
      </c>
      <c r="E1299" t="s">
        <v>13</v>
      </c>
      <c r="F1299">
        <v>36.071899999999999</v>
      </c>
      <c r="G1299">
        <v>-115.16330000000001</v>
      </c>
      <c r="H1299">
        <v>-8</v>
      </c>
      <c r="I1299">
        <v>649.5</v>
      </c>
      <c r="J1299" t="str">
        <f>HYPERLINK("https://climate.onebuilding.org/WMO_Region_4_North_and_Central_America/USA_United_States_of_America/NV_Nevada/USA_NV_Las.Vegas-McCarran.Intl.AP.723860_US.Normals.1981-2010.zip")</f>
        <v>https://climate.onebuilding.org/WMO_Region_4_North_and_Central_America/USA_United_States_of_America/NV_Nevada/USA_NV_Las.Vegas-McCarran.Intl.AP.723860_US.Normals.1981-2010.zip</v>
      </c>
    </row>
    <row r="1300" spans="1:10" x14ac:dyDescent="0.25">
      <c r="A1300" t="s">
        <v>35</v>
      </c>
      <c r="B1300" t="s">
        <v>807</v>
      </c>
      <c r="C1300" t="s">
        <v>815</v>
      </c>
      <c r="D1300" s="2">
        <v>723860</v>
      </c>
      <c r="E1300" t="s">
        <v>13</v>
      </c>
      <c r="F1300">
        <v>36.071899999999999</v>
      </c>
      <c r="G1300">
        <v>-115.16330000000001</v>
      </c>
      <c r="H1300">
        <v>-8</v>
      </c>
      <c r="I1300">
        <v>649.5</v>
      </c>
      <c r="J1300" t="str">
        <f>HYPERLINK("https://climate.onebuilding.org/WMO_Region_4_North_and_Central_America/USA_United_States_of_America/NV_Nevada/USA_NV_Las.Vegas-McCarran.Intl.AP.723860_US.Normals.1991-2020.zip")</f>
        <v>https://climate.onebuilding.org/WMO_Region_4_North_and_Central_America/USA_United_States_of_America/NV_Nevada/USA_NV_Las.Vegas-McCarran.Intl.AP.723860_US.Normals.1991-2020.zip</v>
      </c>
    </row>
    <row r="1301" spans="1:10" x14ac:dyDescent="0.25">
      <c r="A1301" t="s">
        <v>35</v>
      </c>
      <c r="B1301" t="s">
        <v>807</v>
      </c>
      <c r="C1301" t="s">
        <v>815</v>
      </c>
      <c r="D1301" s="2">
        <v>723860</v>
      </c>
      <c r="E1301" t="s">
        <v>13</v>
      </c>
      <c r="F1301">
        <v>36.071899999999999</v>
      </c>
      <c r="G1301">
        <v>-115.16330000000001</v>
      </c>
      <c r="H1301">
        <v>-8</v>
      </c>
      <c r="I1301">
        <v>649.5</v>
      </c>
      <c r="J1301" t="str">
        <f>HYPERLINK("https://climate.onebuilding.org/WMO_Region_4_North_and_Central_America/USA_United_States_of_America/NV_Nevada/USA_NV_Las.Vegas-McCarran.Intl.AP.723860_US.Normals.2006-2020.zip")</f>
        <v>https://climate.onebuilding.org/WMO_Region_4_North_and_Central_America/USA_United_States_of_America/NV_Nevada/USA_NV_Las.Vegas-McCarran.Intl.AP.723860_US.Normals.2006-2020.zip</v>
      </c>
    </row>
    <row r="1302" spans="1:10" x14ac:dyDescent="0.25">
      <c r="A1302" t="s">
        <v>35</v>
      </c>
      <c r="B1302" t="s">
        <v>807</v>
      </c>
      <c r="C1302" t="s">
        <v>816</v>
      </c>
      <c r="D1302" s="2">
        <v>746140</v>
      </c>
      <c r="E1302" t="s">
        <v>13</v>
      </c>
      <c r="F1302">
        <v>36.25</v>
      </c>
      <c r="G1302">
        <v>-115.0333</v>
      </c>
      <c r="H1302">
        <v>-8</v>
      </c>
      <c r="I1302">
        <v>573</v>
      </c>
      <c r="J1302" t="str">
        <f>HYPERLINK("https://climate.onebuilding.org/WMO_Region_4_North_and_Central_America/USA_United_States_of_America/NV_Nevada/USA_NV_Las.Vegas-Nellis.AFB.746140_US.Normals.1981-2010.zip")</f>
        <v>https://climate.onebuilding.org/WMO_Region_4_North_and_Central_America/USA_United_States_of_America/NV_Nevada/USA_NV_Las.Vegas-Nellis.AFB.746140_US.Normals.1981-2010.zip</v>
      </c>
    </row>
    <row r="1303" spans="1:10" x14ac:dyDescent="0.25">
      <c r="A1303" t="s">
        <v>35</v>
      </c>
      <c r="B1303" t="s">
        <v>807</v>
      </c>
      <c r="C1303" t="s">
        <v>816</v>
      </c>
      <c r="D1303" s="2">
        <v>746140</v>
      </c>
      <c r="E1303" t="s">
        <v>13</v>
      </c>
      <c r="F1303">
        <v>36.25</v>
      </c>
      <c r="G1303">
        <v>-115.0333</v>
      </c>
      <c r="H1303">
        <v>-8</v>
      </c>
      <c r="I1303">
        <v>573</v>
      </c>
      <c r="J1303" t="str">
        <f>HYPERLINK("https://climate.onebuilding.org/WMO_Region_4_North_and_Central_America/USA_United_States_of_America/NV_Nevada/USA_NV_Las.Vegas-Nellis.AFB.746140_US.Normals.2006-2020.zip")</f>
        <v>https://climate.onebuilding.org/WMO_Region_4_North_and_Central_America/USA_United_States_of_America/NV_Nevada/USA_NV_Las.Vegas-Nellis.AFB.746140_US.Normals.2006-2020.zip</v>
      </c>
    </row>
    <row r="1304" spans="1:10" x14ac:dyDescent="0.25">
      <c r="A1304" t="s">
        <v>35</v>
      </c>
      <c r="B1304" t="s">
        <v>807</v>
      </c>
      <c r="C1304" t="s">
        <v>817</v>
      </c>
      <c r="D1304" s="2">
        <v>725805</v>
      </c>
      <c r="E1304" t="s">
        <v>13</v>
      </c>
      <c r="F1304">
        <v>40.068100000000001</v>
      </c>
      <c r="G1304">
        <v>-118.5692</v>
      </c>
      <c r="H1304">
        <v>-8</v>
      </c>
      <c r="I1304">
        <v>1189.3</v>
      </c>
      <c r="J1304" t="str">
        <f>HYPERLINK("https://climate.onebuilding.org/WMO_Region_4_North_and_Central_America/USA_United_States_of_America/NV_Nevada/USA_NV_Lovelock-Derby.Field.725805_US.Normals.1991-2020.zip")</f>
        <v>https://climate.onebuilding.org/WMO_Region_4_North_and_Central_America/USA_United_States_of_America/NV_Nevada/USA_NV_Lovelock-Derby.Field.725805_US.Normals.1991-2020.zip</v>
      </c>
    </row>
    <row r="1305" spans="1:10" x14ac:dyDescent="0.25">
      <c r="A1305" t="s">
        <v>35</v>
      </c>
      <c r="B1305" t="s">
        <v>807</v>
      </c>
      <c r="C1305" t="s">
        <v>817</v>
      </c>
      <c r="D1305" s="2">
        <v>725805</v>
      </c>
      <c r="E1305" t="s">
        <v>13</v>
      </c>
      <c r="F1305">
        <v>40.068100000000001</v>
      </c>
      <c r="G1305">
        <v>-118.5692</v>
      </c>
      <c r="H1305">
        <v>-8</v>
      </c>
      <c r="I1305">
        <v>1189.3</v>
      </c>
      <c r="J1305" t="str">
        <f>HYPERLINK("https://climate.onebuilding.org/WMO_Region_4_North_and_Central_America/USA_United_States_of_America/NV_Nevada/USA_NV_Lovelock-Derby.Field.725805_US.Normals.2006-2020.zip")</f>
        <v>https://climate.onebuilding.org/WMO_Region_4_North_and_Central_America/USA_United_States_of_America/NV_Nevada/USA_NV_Lovelock-Derby.Field.725805_US.Normals.2006-2020.zip</v>
      </c>
    </row>
    <row r="1306" spans="1:10" x14ac:dyDescent="0.25">
      <c r="A1306" t="s">
        <v>35</v>
      </c>
      <c r="B1306" t="s">
        <v>807</v>
      </c>
      <c r="C1306" t="s">
        <v>818</v>
      </c>
      <c r="D1306" s="2">
        <v>724885</v>
      </c>
      <c r="E1306" t="s">
        <v>13</v>
      </c>
      <c r="F1306">
        <v>39.416699999999999</v>
      </c>
      <c r="G1306">
        <v>-118.7167</v>
      </c>
      <c r="H1306">
        <v>-8</v>
      </c>
      <c r="I1306">
        <v>1199.0999999999999</v>
      </c>
      <c r="J1306" t="str">
        <f>HYPERLINK("https://climate.onebuilding.org/WMO_Region_4_North_and_Central_America/USA_United_States_of_America/NV_Nevada/USA_NV_NAS.Fallon-Van.Voorhis.Field.724885_US.Normals.2006-2020.zip")</f>
        <v>https://climate.onebuilding.org/WMO_Region_4_North_and_Central_America/USA_United_States_of_America/NV_Nevada/USA_NV_NAS.Fallon-Van.Voorhis.Field.724885_US.Normals.2006-2020.zip</v>
      </c>
    </row>
    <row r="1307" spans="1:10" x14ac:dyDescent="0.25">
      <c r="A1307" t="s">
        <v>35</v>
      </c>
      <c r="B1307" t="s">
        <v>807</v>
      </c>
      <c r="C1307" t="s">
        <v>819</v>
      </c>
      <c r="D1307" s="2">
        <v>724846</v>
      </c>
      <c r="E1307" t="s">
        <v>13</v>
      </c>
      <c r="F1307">
        <v>36.2117</v>
      </c>
      <c r="G1307">
        <v>-115.19580000000001</v>
      </c>
      <c r="H1307">
        <v>-8</v>
      </c>
      <c r="I1307">
        <v>671.5</v>
      </c>
      <c r="J1307" t="str">
        <f>HYPERLINK("https://climate.onebuilding.org/WMO_Region_4_North_and_Central_America/USA_United_States_of_America/NV_Nevada/USA_NV_North.Las.Vegas.AP.724846_US.Normals.2006-2020.zip")</f>
        <v>https://climate.onebuilding.org/WMO_Region_4_North_and_Central_America/USA_United_States_of_America/NV_Nevada/USA_NV_North.Las.Vegas.AP.724846_US.Normals.2006-2020.zip</v>
      </c>
    </row>
    <row r="1308" spans="1:10" x14ac:dyDescent="0.25">
      <c r="A1308" t="s">
        <v>35</v>
      </c>
      <c r="B1308" t="s">
        <v>807</v>
      </c>
      <c r="C1308" t="s">
        <v>820</v>
      </c>
      <c r="D1308" s="2">
        <v>724880</v>
      </c>
      <c r="E1308" t="s">
        <v>13</v>
      </c>
      <c r="F1308">
        <v>39.483899999999998</v>
      </c>
      <c r="G1308">
        <v>-119.7711</v>
      </c>
      <c r="H1308">
        <v>-8</v>
      </c>
      <c r="I1308">
        <v>1344.2</v>
      </c>
      <c r="J1308" t="str">
        <f>HYPERLINK("https://climate.onebuilding.org/WMO_Region_4_North_and_Central_America/USA_United_States_of_America/NV_Nevada/USA_NV_Reno-Tahoe.Intl.AP.724880_US.Normals.1981-2010.zip")</f>
        <v>https://climate.onebuilding.org/WMO_Region_4_North_and_Central_America/USA_United_States_of_America/NV_Nevada/USA_NV_Reno-Tahoe.Intl.AP.724880_US.Normals.1981-2010.zip</v>
      </c>
    </row>
    <row r="1309" spans="1:10" x14ac:dyDescent="0.25">
      <c r="A1309" t="s">
        <v>35</v>
      </c>
      <c r="B1309" t="s">
        <v>807</v>
      </c>
      <c r="C1309" t="s">
        <v>820</v>
      </c>
      <c r="D1309" s="2">
        <v>724880</v>
      </c>
      <c r="E1309" t="s">
        <v>13</v>
      </c>
      <c r="F1309">
        <v>39.483899999999998</v>
      </c>
      <c r="G1309">
        <v>-119.7711</v>
      </c>
      <c r="H1309">
        <v>-8</v>
      </c>
      <c r="I1309">
        <v>1344.2</v>
      </c>
      <c r="J1309" t="str">
        <f>HYPERLINK("https://climate.onebuilding.org/WMO_Region_4_North_and_Central_America/USA_United_States_of_America/NV_Nevada/USA_NV_Reno-Tahoe.Intl.AP.724880_US.Normals.1991-2020.zip")</f>
        <v>https://climate.onebuilding.org/WMO_Region_4_North_and_Central_America/USA_United_States_of_America/NV_Nevada/USA_NV_Reno-Tahoe.Intl.AP.724880_US.Normals.1991-2020.zip</v>
      </c>
    </row>
    <row r="1310" spans="1:10" x14ac:dyDescent="0.25">
      <c r="A1310" t="s">
        <v>35</v>
      </c>
      <c r="B1310" t="s">
        <v>807</v>
      </c>
      <c r="C1310" t="s">
        <v>820</v>
      </c>
      <c r="D1310" s="2">
        <v>724880</v>
      </c>
      <c r="E1310" t="s">
        <v>13</v>
      </c>
      <c r="F1310">
        <v>39.483899999999998</v>
      </c>
      <c r="G1310">
        <v>-119.7711</v>
      </c>
      <c r="H1310">
        <v>-8</v>
      </c>
      <c r="I1310">
        <v>1344.2</v>
      </c>
      <c r="J1310" t="str">
        <f>HYPERLINK("https://climate.onebuilding.org/WMO_Region_4_North_and_Central_America/USA_United_States_of_America/NV_Nevada/USA_NV_Reno-Tahoe.Intl.AP.724880_US.Normals.2006-2020.zip")</f>
        <v>https://climate.onebuilding.org/WMO_Region_4_North_and_Central_America/USA_United_States_of_America/NV_Nevada/USA_NV_Reno-Tahoe.Intl.AP.724880_US.Normals.2006-2020.zip</v>
      </c>
    </row>
    <row r="1311" spans="1:10" x14ac:dyDescent="0.25">
      <c r="A1311" t="s">
        <v>35</v>
      </c>
      <c r="B1311" t="s">
        <v>807</v>
      </c>
      <c r="C1311" t="s">
        <v>821</v>
      </c>
      <c r="D1311" s="2">
        <v>723850</v>
      </c>
      <c r="E1311" t="s">
        <v>13</v>
      </c>
      <c r="F1311">
        <v>41.848300000000002</v>
      </c>
      <c r="G1311">
        <v>-119.6358</v>
      </c>
      <c r="H1311">
        <v>-8</v>
      </c>
      <c r="I1311">
        <v>1981.2</v>
      </c>
      <c r="J1311" t="str">
        <f>HYPERLINK("https://climate.onebuilding.org/WMO_Region_4_North_and_Central_America/USA_United_States_of_America/NV_Nevada/USA_NV_Sheldon.Natl.Antelope.Refuge.723850_US.Normals.2006-2020.zip")</f>
        <v>https://climate.onebuilding.org/WMO_Region_4_North_and_Central_America/USA_United_States_of_America/NV_Nevada/USA_NV_Sheldon.Natl.Antelope.Refuge.723850_US.Normals.2006-2020.zip</v>
      </c>
    </row>
    <row r="1312" spans="1:10" x14ac:dyDescent="0.25">
      <c r="A1312" t="s">
        <v>35</v>
      </c>
      <c r="B1312" t="s">
        <v>807</v>
      </c>
      <c r="C1312" t="s">
        <v>822</v>
      </c>
      <c r="D1312" s="2">
        <v>724855</v>
      </c>
      <c r="E1312" t="s">
        <v>13</v>
      </c>
      <c r="F1312">
        <v>38.051099999999998</v>
      </c>
      <c r="G1312">
        <v>-117.0903</v>
      </c>
      <c r="H1312">
        <v>-8</v>
      </c>
      <c r="I1312">
        <v>1644.4</v>
      </c>
      <c r="J1312" t="str">
        <f>HYPERLINK("https://climate.onebuilding.org/WMO_Region_4_North_and_Central_America/USA_United_States_of_America/NV_Nevada/USA_NV_Tonopah.AP.724855_US.Normals.1991-2020.zip")</f>
        <v>https://climate.onebuilding.org/WMO_Region_4_North_and_Central_America/USA_United_States_of_America/NV_Nevada/USA_NV_Tonopah.AP.724855_US.Normals.1991-2020.zip</v>
      </c>
    </row>
    <row r="1313" spans="1:10" x14ac:dyDescent="0.25">
      <c r="A1313" t="s">
        <v>35</v>
      </c>
      <c r="B1313" t="s">
        <v>807</v>
      </c>
      <c r="C1313" t="s">
        <v>822</v>
      </c>
      <c r="D1313" s="2">
        <v>724855</v>
      </c>
      <c r="E1313" t="s">
        <v>13</v>
      </c>
      <c r="F1313">
        <v>38.051099999999998</v>
      </c>
      <c r="G1313">
        <v>-117.0903</v>
      </c>
      <c r="H1313">
        <v>-8</v>
      </c>
      <c r="I1313">
        <v>1644.4</v>
      </c>
      <c r="J1313" t="str">
        <f>HYPERLINK("https://climate.onebuilding.org/WMO_Region_4_North_and_Central_America/USA_United_States_of_America/NV_Nevada/USA_NV_Tonopah.AP.724855_US.Normals.2006-2020.zip")</f>
        <v>https://climate.onebuilding.org/WMO_Region_4_North_and_Central_America/USA_United_States_of_America/NV_Nevada/USA_NV_Tonopah.AP.724855_US.Normals.2006-2020.zip</v>
      </c>
    </row>
    <row r="1314" spans="1:10" x14ac:dyDescent="0.25">
      <c r="A1314" t="s">
        <v>35</v>
      </c>
      <c r="B1314" t="s">
        <v>807</v>
      </c>
      <c r="C1314" t="s">
        <v>823</v>
      </c>
      <c r="D1314" s="2">
        <v>725830</v>
      </c>
      <c r="E1314" t="s">
        <v>13</v>
      </c>
      <c r="F1314">
        <v>40.901699999999998</v>
      </c>
      <c r="G1314">
        <v>-117.8081</v>
      </c>
      <c r="H1314">
        <v>-8</v>
      </c>
      <c r="I1314">
        <v>1309.4000000000001</v>
      </c>
      <c r="J1314" t="str">
        <f>HYPERLINK("https://climate.onebuilding.org/WMO_Region_4_North_and_Central_America/USA_United_States_of_America/NV_Nevada/USA_NV_Winnemucca.Muni.AP.725830_US.Normals.1981-2010.zip")</f>
        <v>https://climate.onebuilding.org/WMO_Region_4_North_and_Central_America/USA_United_States_of_America/NV_Nevada/USA_NV_Winnemucca.Muni.AP.725830_US.Normals.1981-2010.zip</v>
      </c>
    </row>
    <row r="1315" spans="1:10" x14ac:dyDescent="0.25">
      <c r="A1315" t="s">
        <v>35</v>
      </c>
      <c r="B1315" t="s">
        <v>807</v>
      </c>
      <c r="C1315" t="s">
        <v>823</v>
      </c>
      <c r="D1315" s="2">
        <v>725830</v>
      </c>
      <c r="E1315" t="s">
        <v>13</v>
      </c>
      <c r="F1315">
        <v>40.901699999999998</v>
      </c>
      <c r="G1315">
        <v>-117.8081</v>
      </c>
      <c r="H1315">
        <v>-8</v>
      </c>
      <c r="I1315">
        <v>1309.4000000000001</v>
      </c>
      <c r="J1315" t="str">
        <f>HYPERLINK("https://climate.onebuilding.org/WMO_Region_4_North_and_Central_America/USA_United_States_of_America/NV_Nevada/USA_NV_Winnemucca.Muni.AP.725830_US.Normals.1991-2020.zip")</f>
        <v>https://climate.onebuilding.org/WMO_Region_4_North_and_Central_America/USA_United_States_of_America/NV_Nevada/USA_NV_Winnemucca.Muni.AP.725830_US.Normals.1991-2020.zip</v>
      </c>
    </row>
    <row r="1316" spans="1:10" x14ac:dyDescent="0.25">
      <c r="A1316" t="s">
        <v>35</v>
      </c>
      <c r="B1316" t="s">
        <v>807</v>
      </c>
      <c r="C1316" t="s">
        <v>823</v>
      </c>
      <c r="D1316" s="2">
        <v>725830</v>
      </c>
      <c r="E1316" t="s">
        <v>13</v>
      </c>
      <c r="F1316">
        <v>40.901699999999998</v>
      </c>
      <c r="G1316">
        <v>-117.8081</v>
      </c>
      <c r="H1316">
        <v>-8</v>
      </c>
      <c r="I1316">
        <v>1309.4000000000001</v>
      </c>
      <c r="J1316" t="str">
        <f>HYPERLINK("https://climate.onebuilding.org/WMO_Region_4_North_and_Central_America/USA_United_States_of_America/NV_Nevada/USA_NV_Winnemucca.Muni.AP.725830_US.Normals.2006-2020.zip")</f>
        <v>https://climate.onebuilding.org/WMO_Region_4_North_and_Central_America/USA_United_States_of_America/NV_Nevada/USA_NV_Winnemucca.Muni.AP.725830_US.Normals.2006-2020.zip</v>
      </c>
    </row>
    <row r="1317" spans="1:10" x14ac:dyDescent="0.25">
      <c r="A1317" t="s">
        <v>35</v>
      </c>
      <c r="B1317" t="s">
        <v>824</v>
      </c>
      <c r="C1317" t="s">
        <v>825</v>
      </c>
      <c r="D1317" s="2">
        <v>725180</v>
      </c>
      <c r="E1317" t="s">
        <v>13</v>
      </c>
      <c r="F1317">
        <v>42.743099999999998</v>
      </c>
      <c r="G1317">
        <v>-73.809200000000004</v>
      </c>
      <c r="H1317">
        <v>-5</v>
      </c>
      <c r="I1317">
        <v>95.1</v>
      </c>
      <c r="J1317" t="str">
        <f>HYPERLINK("https://climate.onebuilding.org/WMO_Region_4_North_and_Central_America/USA_United_States_of_America/NY_New_York/USA_NY_Albany.Intl.AP.725180_US.Normals.1981-2010.zip")</f>
        <v>https://climate.onebuilding.org/WMO_Region_4_North_and_Central_America/USA_United_States_of_America/NY_New_York/USA_NY_Albany.Intl.AP.725180_US.Normals.1981-2010.zip</v>
      </c>
    </row>
    <row r="1318" spans="1:10" x14ac:dyDescent="0.25">
      <c r="A1318" t="s">
        <v>35</v>
      </c>
      <c r="B1318" t="s">
        <v>824</v>
      </c>
      <c r="C1318" t="s">
        <v>825</v>
      </c>
      <c r="D1318" s="2">
        <v>725180</v>
      </c>
      <c r="E1318" t="s">
        <v>13</v>
      </c>
      <c r="F1318">
        <v>42.743099999999998</v>
      </c>
      <c r="G1318">
        <v>-73.809200000000004</v>
      </c>
      <c r="H1318">
        <v>-5</v>
      </c>
      <c r="I1318">
        <v>95.1</v>
      </c>
      <c r="J1318" t="str">
        <f>HYPERLINK("https://climate.onebuilding.org/WMO_Region_4_North_and_Central_America/USA_United_States_of_America/NY_New_York/USA_NY_Albany.Intl.AP.725180_US.Normals.1991-2020.zip")</f>
        <v>https://climate.onebuilding.org/WMO_Region_4_North_and_Central_America/USA_United_States_of_America/NY_New_York/USA_NY_Albany.Intl.AP.725180_US.Normals.1991-2020.zip</v>
      </c>
    </row>
    <row r="1319" spans="1:10" x14ac:dyDescent="0.25">
      <c r="A1319" t="s">
        <v>35</v>
      </c>
      <c r="B1319" t="s">
        <v>824</v>
      </c>
      <c r="C1319" t="s">
        <v>825</v>
      </c>
      <c r="D1319" s="2">
        <v>725180</v>
      </c>
      <c r="E1319" t="s">
        <v>13</v>
      </c>
      <c r="F1319">
        <v>42.743099999999998</v>
      </c>
      <c r="G1319">
        <v>-73.809200000000004</v>
      </c>
      <c r="H1319">
        <v>-5</v>
      </c>
      <c r="I1319">
        <v>95.1</v>
      </c>
      <c r="J1319" t="str">
        <f>HYPERLINK("https://climate.onebuilding.org/WMO_Region_4_North_and_Central_America/USA_United_States_of_America/NY_New_York/USA_NY_Albany.Intl.AP.725180_US.Normals.2006-2020.zip")</f>
        <v>https://climate.onebuilding.org/WMO_Region_4_North_and_Central_America/USA_United_States_of_America/NY_New_York/USA_NY_Albany.Intl.AP.725180_US.Normals.2006-2020.zip</v>
      </c>
    </row>
    <row r="1320" spans="1:10" x14ac:dyDescent="0.25">
      <c r="A1320" t="s">
        <v>35</v>
      </c>
      <c r="B1320" t="s">
        <v>824</v>
      </c>
      <c r="C1320" t="s">
        <v>826</v>
      </c>
      <c r="D1320" s="2">
        <v>725150</v>
      </c>
      <c r="E1320" t="s">
        <v>13</v>
      </c>
      <c r="F1320">
        <v>42.1997</v>
      </c>
      <c r="G1320">
        <v>-75.984999999999999</v>
      </c>
      <c r="H1320">
        <v>-5</v>
      </c>
      <c r="I1320">
        <v>489.5</v>
      </c>
      <c r="J1320" t="str">
        <f>HYPERLINK("https://climate.onebuilding.org/WMO_Region_4_North_and_Central_America/USA_United_States_of_America/NY_New_York/USA_NY_Binghamton-Greater.Binghamton.AP-Link.Field.725150_US.Normals.1981-2010.zip")</f>
        <v>https://climate.onebuilding.org/WMO_Region_4_North_and_Central_America/USA_United_States_of_America/NY_New_York/USA_NY_Binghamton-Greater.Binghamton.AP-Link.Field.725150_US.Normals.1981-2010.zip</v>
      </c>
    </row>
    <row r="1321" spans="1:10" x14ac:dyDescent="0.25">
      <c r="A1321" t="s">
        <v>35</v>
      </c>
      <c r="B1321" t="s">
        <v>824</v>
      </c>
      <c r="C1321" t="s">
        <v>826</v>
      </c>
      <c r="D1321" s="2">
        <v>725150</v>
      </c>
      <c r="E1321" t="s">
        <v>13</v>
      </c>
      <c r="F1321">
        <v>42.1997</v>
      </c>
      <c r="G1321">
        <v>-75.984999999999999</v>
      </c>
      <c r="H1321">
        <v>-5</v>
      </c>
      <c r="I1321">
        <v>489.5</v>
      </c>
      <c r="J1321" t="str">
        <f>HYPERLINK("https://climate.onebuilding.org/WMO_Region_4_North_and_Central_America/USA_United_States_of_America/NY_New_York/USA_NY_Binghamton-Greater.Binghamton.AP-Link.Field.725150_US.Normals.1991-2020.zip")</f>
        <v>https://climate.onebuilding.org/WMO_Region_4_North_and_Central_America/USA_United_States_of_America/NY_New_York/USA_NY_Binghamton-Greater.Binghamton.AP-Link.Field.725150_US.Normals.1991-2020.zip</v>
      </c>
    </row>
    <row r="1322" spans="1:10" x14ac:dyDescent="0.25">
      <c r="A1322" t="s">
        <v>35</v>
      </c>
      <c r="B1322" t="s">
        <v>824</v>
      </c>
      <c r="C1322" t="s">
        <v>826</v>
      </c>
      <c r="D1322" s="2">
        <v>725150</v>
      </c>
      <c r="E1322" t="s">
        <v>13</v>
      </c>
      <c r="F1322">
        <v>42.1997</v>
      </c>
      <c r="G1322">
        <v>-75.984999999999999</v>
      </c>
      <c r="H1322">
        <v>-5</v>
      </c>
      <c r="I1322">
        <v>489.5</v>
      </c>
      <c r="J1322" t="str">
        <f>HYPERLINK("https://climate.onebuilding.org/WMO_Region_4_North_and_Central_America/USA_United_States_of_America/NY_New_York/USA_NY_Binghamton-Greater.Binghamton.AP-Link.Field.725150_US.Normals.2006-2020.zip")</f>
        <v>https://climate.onebuilding.org/WMO_Region_4_North_and_Central_America/USA_United_States_of_America/NY_New_York/USA_NY_Binghamton-Greater.Binghamton.AP-Link.Field.725150_US.Normals.2006-2020.zip</v>
      </c>
    </row>
    <row r="1323" spans="1:10" x14ac:dyDescent="0.25">
      <c r="A1323" t="s">
        <v>35</v>
      </c>
      <c r="B1323" t="s">
        <v>824</v>
      </c>
      <c r="C1323" t="s">
        <v>827</v>
      </c>
      <c r="D1323" s="2">
        <v>725016</v>
      </c>
      <c r="E1323" t="s">
        <v>13</v>
      </c>
      <c r="F1323">
        <v>40.8217</v>
      </c>
      <c r="G1323">
        <v>-72.868899999999996</v>
      </c>
      <c r="H1323">
        <v>-5</v>
      </c>
      <c r="I1323">
        <v>25</v>
      </c>
      <c r="J1323" t="str">
        <f>HYPERLINK("https://climate.onebuilding.org/WMO_Region_4_North_and_Central_America/USA_United_States_of_America/NY_New_York/USA_NY_Brookhaven.Calabro.AP.725016_US.Normals.2006-2020.zip")</f>
        <v>https://climate.onebuilding.org/WMO_Region_4_North_and_Central_America/USA_United_States_of_America/NY_New_York/USA_NY_Brookhaven.Calabro.AP.725016_US.Normals.2006-2020.zip</v>
      </c>
    </row>
    <row r="1324" spans="1:10" x14ac:dyDescent="0.25">
      <c r="A1324" t="s">
        <v>35</v>
      </c>
      <c r="B1324" t="s">
        <v>824</v>
      </c>
      <c r="C1324" t="s">
        <v>828</v>
      </c>
      <c r="D1324" s="2">
        <v>725280</v>
      </c>
      <c r="E1324" t="s">
        <v>13</v>
      </c>
      <c r="F1324">
        <v>42.948599999999999</v>
      </c>
      <c r="G1324">
        <v>-78.736900000000006</v>
      </c>
      <c r="H1324">
        <v>-5</v>
      </c>
      <c r="I1324">
        <v>211.2</v>
      </c>
      <c r="J1324" t="str">
        <f>HYPERLINK("https://climate.onebuilding.org/WMO_Region_4_North_and_Central_America/USA_United_States_of_America/NY_New_York/USA_NY_Buffalo.Niagara.Intl.AP.725280_US.Normals.1991-2020.zip")</f>
        <v>https://climate.onebuilding.org/WMO_Region_4_North_and_Central_America/USA_United_States_of_America/NY_New_York/USA_NY_Buffalo.Niagara.Intl.AP.725280_US.Normals.1991-2020.zip</v>
      </c>
    </row>
    <row r="1325" spans="1:10" x14ac:dyDescent="0.25">
      <c r="A1325" t="s">
        <v>35</v>
      </c>
      <c r="B1325" t="s">
        <v>824</v>
      </c>
      <c r="C1325" t="s">
        <v>829</v>
      </c>
      <c r="D1325" s="2">
        <v>743690</v>
      </c>
      <c r="E1325" t="s">
        <v>13</v>
      </c>
      <c r="F1325">
        <v>41.785800000000002</v>
      </c>
      <c r="G1325">
        <v>-73.742199999999997</v>
      </c>
      <c r="H1325">
        <v>-5</v>
      </c>
      <c r="I1325">
        <v>125.9</v>
      </c>
      <c r="J1325" t="str">
        <f>HYPERLINK("https://climate.onebuilding.org/WMO_Region_4_North_and_Central_America/USA_United_States_of_America/NY_New_York/USA_NY_Cornell.Univ.Cooperative.Extension.Dutchess.County-Institute.Ecosystems.Studies.743690_US.Normals.2006-2020.zip")</f>
        <v>https://climate.onebuilding.org/WMO_Region_4_North_and_Central_America/USA_United_States_of_America/NY_New_York/USA_NY_Cornell.Univ.Cooperative.Extension.Dutchess.County-Institute.Ecosystems.Studies.743690_US.Normals.2006-2020.zip</v>
      </c>
    </row>
    <row r="1326" spans="1:10" x14ac:dyDescent="0.25">
      <c r="A1326" t="s">
        <v>35</v>
      </c>
      <c r="B1326" t="s">
        <v>824</v>
      </c>
      <c r="C1326" t="s">
        <v>830</v>
      </c>
      <c r="D1326" s="2">
        <v>725270</v>
      </c>
      <c r="E1326" t="s">
        <v>13</v>
      </c>
      <c r="F1326">
        <v>42.44</v>
      </c>
      <c r="G1326">
        <v>-76.246099999999998</v>
      </c>
      <c r="H1326">
        <v>-5</v>
      </c>
      <c r="I1326">
        <v>374.3</v>
      </c>
      <c r="J1326" t="str">
        <f>HYPERLINK("https://climate.onebuilding.org/WMO_Region_4_North_and_Central_America/USA_United_States_of_America/NY_New_York/USA_NY_Cornell.Univ.Teaching.Dairy.Barn.725270_US.Normals.2006-2020.zip")</f>
        <v>https://climate.onebuilding.org/WMO_Region_4_North_and_Central_America/USA_United_States_of_America/NY_New_York/USA_NY_Cornell.Univ.Teaching.Dairy.Barn.725270_US.Normals.2006-2020.zip</v>
      </c>
    </row>
    <row r="1327" spans="1:10" x14ac:dyDescent="0.25">
      <c r="A1327" t="s">
        <v>35</v>
      </c>
      <c r="B1327" t="s">
        <v>824</v>
      </c>
      <c r="C1327" t="s">
        <v>831</v>
      </c>
      <c r="D1327" s="2">
        <v>725230</v>
      </c>
      <c r="E1327" t="s">
        <v>13</v>
      </c>
      <c r="F1327">
        <v>42.570799999999998</v>
      </c>
      <c r="G1327">
        <v>-77.713300000000004</v>
      </c>
      <c r="H1327">
        <v>-5</v>
      </c>
      <c r="I1327">
        <v>208.8</v>
      </c>
      <c r="J1327" t="str">
        <f>HYPERLINK("https://climate.onebuilding.org/WMO_Region_4_North_and_Central_America/USA_United_States_of_America/NY_New_York/USA_NY_Dansville.Muni.AP.725230_US.Normals.2006-2020.zip")</f>
        <v>https://climate.onebuilding.org/WMO_Region_4_North_and_Central_America/USA_United_States_of_America/NY_New_York/USA_NY_Dansville.Muni.AP.725230_US.Normals.2006-2020.zip</v>
      </c>
    </row>
    <row r="1328" spans="1:10" x14ac:dyDescent="0.25">
      <c r="A1328" t="s">
        <v>35</v>
      </c>
      <c r="B1328" t="s">
        <v>824</v>
      </c>
      <c r="C1328" t="s">
        <v>832</v>
      </c>
      <c r="D1328" s="2">
        <v>744989</v>
      </c>
      <c r="E1328" t="s">
        <v>13</v>
      </c>
      <c r="F1328">
        <v>42.493299999999998</v>
      </c>
      <c r="G1328">
        <v>-79.272199999999998</v>
      </c>
      <c r="H1328">
        <v>-5</v>
      </c>
      <c r="I1328">
        <v>203</v>
      </c>
      <c r="J1328" t="str">
        <f>HYPERLINK("https://climate.onebuilding.org/WMO_Region_4_North_and_Central_America/USA_United_States_of_America/NY_New_York/USA_NY_Dunkirk.AP.744989_US.Normals.2006-2020.zip")</f>
        <v>https://climate.onebuilding.org/WMO_Region_4_North_and_Central_America/USA_United_States_of_America/NY_New_York/USA_NY_Dunkirk.AP.744989_US.Normals.2006-2020.zip</v>
      </c>
    </row>
    <row r="1329" spans="1:10" x14ac:dyDescent="0.25">
      <c r="A1329" t="s">
        <v>35</v>
      </c>
      <c r="B1329" t="s">
        <v>824</v>
      </c>
      <c r="C1329" t="s">
        <v>833</v>
      </c>
      <c r="D1329" s="2">
        <v>725156</v>
      </c>
      <c r="E1329" t="s">
        <v>13</v>
      </c>
      <c r="F1329">
        <v>42.159399999999998</v>
      </c>
      <c r="G1329">
        <v>-76.891900000000007</v>
      </c>
      <c r="H1329">
        <v>-5</v>
      </c>
      <c r="I1329">
        <v>291.10000000000002</v>
      </c>
      <c r="J1329" t="str">
        <f>HYPERLINK("https://climate.onebuilding.org/WMO_Region_4_North_and_Central_America/USA_United_States_of_America/NY_New_York/USA_NY_Elmira-Corning.Rgnl.AP.725156_US.Normals.1981-2010.zip")</f>
        <v>https://climate.onebuilding.org/WMO_Region_4_North_and_Central_America/USA_United_States_of_America/NY_New_York/USA_NY_Elmira-Corning.Rgnl.AP.725156_US.Normals.1981-2010.zip</v>
      </c>
    </row>
    <row r="1330" spans="1:10" x14ac:dyDescent="0.25">
      <c r="A1330" t="s">
        <v>35</v>
      </c>
      <c r="B1330" t="s">
        <v>824</v>
      </c>
      <c r="C1330" t="s">
        <v>833</v>
      </c>
      <c r="D1330" s="2">
        <v>725156</v>
      </c>
      <c r="E1330" t="s">
        <v>13</v>
      </c>
      <c r="F1330">
        <v>42.159399999999998</v>
      </c>
      <c r="G1330">
        <v>-76.891900000000007</v>
      </c>
      <c r="H1330">
        <v>-5</v>
      </c>
      <c r="I1330">
        <v>291.10000000000002</v>
      </c>
      <c r="J1330" t="str">
        <f>HYPERLINK("https://climate.onebuilding.org/WMO_Region_4_North_and_Central_America/USA_United_States_of_America/NY_New_York/USA_NY_Elmira-Corning.Rgnl.AP.725156_US.Normals.1991-2020.zip")</f>
        <v>https://climate.onebuilding.org/WMO_Region_4_North_and_Central_America/USA_United_States_of_America/NY_New_York/USA_NY_Elmira-Corning.Rgnl.AP.725156_US.Normals.1991-2020.zip</v>
      </c>
    </row>
    <row r="1331" spans="1:10" x14ac:dyDescent="0.25">
      <c r="A1331" t="s">
        <v>35</v>
      </c>
      <c r="B1331" t="s">
        <v>824</v>
      </c>
      <c r="C1331" t="s">
        <v>833</v>
      </c>
      <c r="D1331" s="2">
        <v>725156</v>
      </c>
      <c r="E1331" t="s">
        <v>13</v>
      </c>
      <c r="F1331">
        <v>42.159399999999998</v>
      </c>
      <c r="G1331">
        <v>-76.891900000000007</v>
      </c>
      <c r="H1331">
        <v>-5</v>
      </c>
      <c r="I1331">
        <v>291.10000000000002</v>
      </c>
      <c r="J1331" t="str">
        <f>HYPERLINK("https://climate.onebuilding.org/WMO_Region_4_North_and_Central_America/USA_United_States_of_America/NY_New_York/USA_NY_Elmira-Corning.Rgnl.AP.725156_US.Normals.2006-2020.zip")</f>
        <v>https://climate.onebuilding.org/WMO_Region_4_North_and_Central_America/USA_United_States_of_America/NY_New_York/USA_NY_Elmira-Corning.Rgnl.AP.725156_US.Normals.2006-2020.zip</v>
      </c>
    </row>
    <row r="1332" spans="1:10" x14ac:dyDescent="0.25">
      <c r="A1332" t="s">
        <v>35</v>
      </c>
      <c r="B1332" t="s">
        <v>824</v>
      </c>
      <c r="C1332" t="s">
        <v>834</v>
      </c>
      <c r="D1332" s="2">
        <v>744864</v>
      </c>
      <c r="E1332" t="s">
        <v>13</v>
      </c>
      <c r="F1332">
        <v>40.734200000000001</v>
      </c>
      <c r="G1332">
        <v>-73.416899999999998</v>
      </c>
      <c r="H1332">
        <v>-5</v>
      </c>
      <c r="I1332">
        <v>24.7</v>
      </c>
      <c r="J1332" t="str">
        <f>HYPERLINK("https://climate.onebuilding.org/WMO_Region_4_North_and_Central_America/USA_United_States_of_America/NY_New_York/USA_NY_Farmingdale-Republic.AP.744864_US.Normals.2006-2020.zip")</f>
        <v>https://climate.onebuilding.org/WMO_Region_4_North_and_Central_America/USA_United_States_of_America/NY_New_York/USA_NY_Farmingdale-Republic.AP.744864_US.Normals.2006-2020.zip</v>
      </c>
    </row>
    <row r="1333" spans="1:10" x14ac:dyDescent="0.25">
      <c r="A1333" t="s">
        <v>35</v>
      </c>
      <c r="B1333" t="s">
        <v>824</v>
      </c>
      <c r="C1333" t="s">
        <v>835</v>
      </c>
      <c r="D1333" s="2">
        <v>725146</v>
      </c>
      <c r="E1333" t="s">
        <v>13</v>
      </c>
      <c r="F1333">
        <v>43.349699999999999</v>
      </c>
      <c r="G1333">
        <v>-76.384699999999995</v>
      </c>
      <c r="H1333">
        <v>-5</v>
      </c>
      <c r="I1333">
        <v>144.80000000000001</v>
      </c>
      <c r="J1333" t="str">
        <f>HYPERLINK("https://climate.onebuilding.org/WMO_Region_4_North_and_Central_America/USA_United_States_of_America/NY_New_York/USA_NY_Fulton-Oswego.County.AP.725146_US.Normals.2006-2020.zip")</f>
        <v>https://climate.onebuilding.org/WMO_Region_4_North_and_Central_America/USA_United_States_of_America/NY_New_York/USA_NY_Fulton-Oswego.County.AP.725146_US.Normals.2006-2020.zip</v>
      </c>
    </row>
    <row r="1334" spans="1:10" x14ac:dyDescent="0.25">
      <c r="A1334" t="s">
        <v>35</v>
      </c>
      <c r="B1334" t="s">
        <v>824</v>
      </c>
      <c r="C1334" t="s">
        <v>836</v>
      </c>
      <c r="D1334" s="2">
        <v>725220</v>
      </c>
      <c r="E1334" t="s">
        <v>13</v>
      </c>
      <c r="F1334">
        <v>43.35</v>
      </c>
      <c r="G1334">
        <v>-73.616699999999994</v>
      </c>
      <c r="H1334">
        <v>-5</v>
      </c>
      <c r="I1334">
        <v>97.8</v>
      </c>
      <c r="J1334" t="str">
        <f>HYPERLINK("https://climate.onebuilding.org/WMO_Region_4_North_and_Central_America/USA_United_States_of_America/NY_New_York/USA_NY_Glens.Falls-Bennett.Meml.AP.725220_US.Normals.2006-2020.zip")</f>
        <v>https://climate.onebuilding.org/WMO_Region_4_North_and_Central_America/USA_United_States_of_America/NY_New_York/USA_NY_Glens.Falls-Bennett.Meml.AP.725220_US.Normals.2006-2020.zip</v>
      </c>
    </row>
    <row r="1335" spans="1:10" x14ac:dyDescent="0.25">
      <c r="A1335" t="s">
        <v>35</v>
      </c>
      <c r="B1335" t="s">
        <v>824</v>
      </c>
      <c r="C1335" t="s">
        <v>837</v>
      </c>
      <c r="D1335" s="2">
        <v>725050</v>
      </c>
      <c r="E1335" t="s">
        <v>13</v>
      </c>
      <c r="F1335">
        <v>40.793900000000001</v>
      </c>
      <c r="G1335">
        <v>-73.101699999999994</v>
      </c>
      <c r="H1335">
        <v>-5</v>
      </c>
      <c r="I1335">
        <v>25.6</v>
      </c>
      <c r="J1335" t="str">
        <f>HYPERLINK("https://climate.onebuilding.org/WMO_Region_4_North_and_Central_America/USA_United_States_of_America/NY_New_York/USA_NY_Islip-Long.Island.MacArthur.AP.725050_US.Normals.1981-2010.zip")</f>
        <v>https://climate.onebuilding.org/WMO_Region_4_North_and_Central_America/USA_United_States_of_America/NY_New_York/USA_NY_Islip-Long.Island.MacArthur.AP.725050_US.Normals.1981-2010.zip</v>
      </c>
    </row>
    <row r="1336" spans="1:10" x14ac:dyDescent="0.25">
      <c r="A1336" t="s">
        <v>35</v>
      </c>
      <c r="B1336" t="s">
        <v>824</v>
      </c>
      <c r="C1336" t="s">
        <v>837</v>
      </c>
      <c r="D1336" s="2">
        <v>725050</v>
      </c>
      <c r="E1336" t="s">
        <v>13</v>
      </c>
      <c r="F1336">
        <v>40.793900000000001</v>
      </c>
      <c r="G1336">
        <v>-73.101699999999994</v>
      </c>
      <c r="H1336">
        <v>-5</v>
      </c>
      <c r="I1336">
        <v>25.6</v>
      </c>
      <c r="J1336" t="str">
        <f>HYPERLINK("https://climate.onebuilding.org/WMO_Region_4_North_and_Central_America/USA_United_States_of_America/NY_New_York/USA_NY_Islip-Long.Island.MacArthur.AP.725050_US.Normals.2006-2020.zip")</f>
        <v>https://climate.onebuilding.org/WMO_Region_4_North_and_Central_America/USA_United_States_of_America/NY_New_York/USA_NY_Islip-Long.Island.MacArthur.AP.725050_US.Normals.2006-2020.zip</v>
      </c>
    </row>
    <row r="1337" spans="1:10" x14ac:dyDescent="0.25">
      <c r="A1337" t="s">
        <v>35</v>
      </c>
      <c r="B1337" t="s">
        <v>824</v>
      </c>
      <c r="C1337" t="s">
        <v>838</v>
      </c>
      <c r="D1337" s="2">
        <v>726223</v>
      </c>
      <c r="E1337" t="s">
        <v>13</v>
      </c>
      <c r="F1337">
        <v>44.9358</v>
      </c>
      <c r="G1337">
        <v>-74.845799999999997</v>
      </c>
      <c r="H1337">
        <v>-5</v>
      </c>
      <c r="I1337">
        <v>65.2</v>
      </c>
      <c r="J1337" t="str">
        <f>HYPERLINK("https://climate.onebuilding.org/WMO_Region_4_North_and_Central_America/USA_United_States_of_America/NY_New_York/USA_NY_Massena.Intl.AP-Richards.Field.726223_US.Normals.1991-2020.zip")</f>
        <v>https://climate.onebuilding.org/WMO_Region_4_North_and_Central_America/USA_United_States_of_America/NY_New_York/USA_NY_Massena.Intl.AP-Richards.Field.726223_US.Normals.1991-2020.zip</v>
      </c>
    </row>
    <row r="1338" spans="1:10" x14ac:dyDescent="0.25">
      <c r="A1338" t="s">
        <v>35</v>
      </c>
      <c r="B1338" t="s">
        <v>824</v>
      </c>
      <c r="C1338" t="s">
        <v>838</v>
      </c>
      <c r="D1338" s="2">
        <v>726223</v>
      </c>
      <c r="E1338" t="s">
        <v>13</v>
      </c>
      <c r="F1338">
        <v>44.9358</v>
      </c>
      <c r="G1338">
        <v>-74.845799999999997</v>
      </c>
      <c r="H1338">
        <v>-5</v>
      </c>
      <c r="I1338">
        <v>65.2</v>
      </c>
      <c r="J1338" t="str">
        <f>HYPERLINK("https://climate.onebuilding.org/WMO_Region_4_North_and_Central_America/USA_United_States_of_America/NY_New_York/USA_NY_Massena.Intl.AP-Richards.Field.726223_US.Normals.2006-2020.zip")</f>
        <v>https://climate.onebuilding.org/WMO_Region_4_North_and_Central_America/USA_United_States_of_America/NY_New_York/USA_NY_Massena.Intl.AP-Richards.Field.726223_US.Normals.2006-2020.zip</v>
      </c>
    </row>
    <row r="1339" spans="1:10" x14ac:dyDescent="0.25">
      <c r="A1339" t="s">
        <v>35</v>
      </c>
      <c r="B1339" t="s">
        <v>824</v>
      </c>
      <c r="C1339" t="s">
        <v>839</v>
      </c>
      <c r="D1339" s="2">
        <v>725014</v>
      </c>
      <c r="E1339" t="s">
        <v>13</v>
      </c>
      <c r="F1339">
        <v>41.073099999999997</v>
      </c>
      <c r="G1339">
        <v>-71.923299999999998</v>
      </c>
      <c r="H1339">
        <v>-5</v>
      </c>
      <c r="I1339">
        <v>2.1</v>
      </c>
      <c r="J1339" t="str">
        <f>HYPERLINK("https://climate.onebuilding.org/WMO_Region_4_North_and_Central_America/USA_United_States_of_America/NY_New_York/USA_NY_Montauk.AP.725014_US.Normals.2006-2020.zip")</f>
        <v>https://climate.onebuilding.org/WMO_Region_4_North_and_Central_America/USA_United_States_of_America/NY_New_York/USA_NY_Montauk.AP.725014_US.Normals.2006-2020.zip</v>
      </c>
    </row>
    <row r="1340" spans="1:10" x14ac:dyDescent="0.25">
      <c r="A1340" t="s">
        <v>35</v>
      </c>
      <c r="B1340" t="s">
        <v>824</v>
      </c>
      <c r="C1340" t="s">
        <v>840</v>
      </c>
      <c r="D1340" s="2">
        <v>725015</v>
      </c>
      <c r="E1340" t="s">
        <v>13</v>
      </c>
      <c r="F1340">
        <v>41.5092</v>
      </c>
      <c r="G1340">
        <v>-74.265000000000001</v>
      </c>
      <c r="H1340">
        <v>-5</v>
      </c>
      <c r="I1340">
        <v>111.3</v>
      </c>
      <c r="J1340" t="str">
        <f>HYPERLINK("https://climate.onebuilding.org/WMO_Region_4_North_and_Central_America/USA_United_States_of_America/NY_New_York/USA_NY_Montgomery-Orange.County.AP.725015_US.Normals.2006-2020.zip")</f>
        <v>https://climate.onebuilding.org/WMO_Region_4_North_and_Central_America/USA_United_States_of_America/NY_New_York/USA_NY_Montgomery-Orange.County.AP.725015_US.Normals.2006-2020.zip</v>
      </c>
    </row>
    <row r="1341" spans="1:10" x14ac:dyDescent="0.25">
      <c r="A1341" t="s">
        <v>35</v>
      </c>
      <c r="B1341" t="s">
        <v>824</v>
      </c>
      <c r="C1341" t="s">
        <v>841</v>
      </c>
      <c r="D1341" s="2">
        <v>725053</v>
      </c>
      <c r="E1341" t="s">
        <v>13</v>
      </c>
      <c r="F1341">
        <v>40.7789</v>
      </c>
      <c r="G1341">
        <v>-73.969200000000001</v>
      </c>
      <c r="H1341">
        <v>-5</v>
      </c>
      <c r="I1341">
        <v>39.6</v>
      </c>
      <c r="J1341" t="str">
        <f>HYPERLINK("https://climate.onebuilding.org/WMO_Region_4_North_and_Central_America/USA_United_States_of_America/NY_New_York/USA_NY_New.York-Central.Park.Obs-Belvedere.Castle.725053_US.Normals.2006-2020.zip")</f>
        <v>https://climate.onebuilding.org/WMO_Region_4_North_and_Central_America/USA_United_States_of_America/NY_New_York/USA_NY_New.York-Central.Park.Obs-Belvedere.Castle.725053_US.Normals.2006-2020.zip</v>
      </c>
    </row>
    <row r="1342" spans="1:10" x14ac:dyDescent="0.25">
      <c r="A1342" t="s">
        <v>35</v>
      </c>
      <c r="B1342" t="s">
        <v>824</v>
      </c>
      <c r="C1342" t="s">
        <v>842</v>
      </c>
      <c r="D1342" s="2">
        <v>744860</v>
      </c>
      <c r="E1342" t="s">
        <v>13</v>
      </c>
      <c r="F1342">
        <v>40.638599999999997</v>
      </c>
      <c r="G1342">
        <v>-73.762200000000007</v>
      </c>
      <c r="H1342">
        <v>-5</v>
      </c>
      <c r="I1342">
        <v>3.4</v>
      </c>
      <c r="J1342" t="str">
        <f>HYPERLINK("https://climate.onebuilding.org/WMO_Region_4_North_and_Central_America/USA_United_States_of_America/NY_New_York/USA_NY_New.York-Kennedy.Intl.AP.744860_US.Normals.1981-2010.zip")</f>
        <v>https://climate.onebuilding.org/WMO_Region_4_North_and_Central_America/USA_United_States_of_America/NY_New_York/USA_NY_New.York-Kennedy.Intl.AP.744860_US.Normals.1981-2010.zip</v>
      </c>
    </row>
    <row r="1343" spans="1:10" x14ac:dyDescent="0.25">
      <c r="A1343" t="s">
        <v>35</v>
      </c>
      <c r="B1343" t="s">
        <v>824</v>
      </c>
      <c r="C1343" t="s">
        <v>842</v>
      </c>
      <c r="D1343" s="2">
        <v>744860</v>
      </c>
      <c r="E1343" t="s">
        <v>13</v>
      </c>
      <c r="F1343">
        <v>40.638599999999997</v>
      </c>
      <c r="G1343">
        <v>-73.762200000000007</v>
      </c>
      <c r="H1343">
        <v>-5</v>
      </c>
      <c r="I1343">
        <v>3.4</v>
      </c>
      <c r="J1343" t="str">
        <f>HYPERLINK("https://climate.onebuilding.org/WMO_Region_4_North_and_Central_America/USA_United_States_of_America/NY_New_York/USA_NY_New.York-Kennedy.Intl.AP.744860_US.Normals.1991-2020.zip")</f>
        <v>https://climate.onebuilding.org/WMO_Region_4_North_and_Central_America/USA_United_States_of_America/NY_New_York/USA_NY_New.York-Kennedy.Intl.AP.744860_US.Normals.1991-2020.zip</v>
      </c>
    </row>
    <row r="1344" spans="1:10" x14ac:dyDescent="0.25">
      <c r="A1344" t="s">
        <v>35</v>
      </c>
      <c r="B1344" t="s">
        <v>824</v>
      </c>
      <c r="C1344" t="s">
        <v>842</v>
      </c>
      <c r="D1344" s="2">
        <v>744860</v>
      </c>
      <c r="E1344" t="s">
        <v>13</v>
      </c>
      <c r="F1344">
        <v>40.638599999999997</v>
      </c>
      <c r="G1344">
        <v>-73.762200000000007</v>
      </c>
      <c r="H1344">
        <v>-5</v>
      </c>
      <c r="I1344">
        <v>3.4</v>
      </c>
      <c r="J1344" t="str">
        <f>HYPERLINK("https://climate.onebuilding.org/WMO_Region_4_North_and_Central_America/USA_United_States_of_America/NY_New_York/USA_NY_New.York-Kennedy.Intl.AP.744860_US.Normals.2006-2020.zip")</f>
        <v>https://climate.onebuilding.org/WMO_Region_4_North_and_Central_America/USA_United_States_of_America/NY_New_York/USA_NY_New.York-Kennedy.Intl.AP.744860_US.Normals.2006-2020.zip</v>
      </c>
    </row>
    <row r="1345" spans="1:10" x14ac:dyDescent="0.25">
      <c r="A1345" t="s">
        <v>35</v>
      </c>
      <c r="B1345" t="s">
        <v>824</v>
      </c>
      <c r="C1345" t="s">
        <v>843</v>
      </c>
      <c r="D1345" s="2">
        <v>725030</v>
      </c>
      <c r="E1345" t="s">
        <v>13</v>
      </c>
      <c r="F1345">
        <v>40.779400000000003</v>
      </c>
      <c r="G1345">
        <v>-73.880300000000005</v>
      </c>
      <c r="H1345">
        <v>-5</v>
      </c>
      <c r="I1345">
        <v>3.4</v>
      </c>
      <c r="J1345" t="str">
        <f>HYPERLINK("https://climate.onebuilding.org/WMO_Region_4_North_and_Central_America/USA_United_States_of_America/NY_New_York/USA_NY_New.York-LaGuardia.AP.725030_US.Normals.1981-2010.zip")</f>
        <v>https://climate.onebuilding.org/WMO_Region_4_North_and_Central_America/USA_United_States_of_America/NY_New_York/USA_NY_New.York-LaGuardia.AP.725030_US.Normals.1981-2010.zip</v>
      </c>
    </row>
    <row r="1346" spans="1:10" x14ac:dyDescent="0.25">
      <c r="A1346" t="s">
        <v>35</v>
      </c>
      <c r="B1346" t="s">
        <v>824</v>
      </c>
      <c r="C1346" t="s">
        <v>843</v>
      </c>
      <c r="D1346" s="2">
        <v>725030</v>
      </c>
      <c r="E1346" t="s">
        <v>13</v>
      </c>
      <c r="F1346">
        <v>40.779400000000003</v>
      </c>
      <c r="G1346">
        <v>-73.880300000000005</v>
      </c>
      <c r="H1346">
        <v>-5</v>
      </c>
      <c r="I1346">
        <v>3.4</v>
      </c>
      <c r="J1346" t="str">
        <f>HYPERLINK("https://climate.onebuilding.org/WMO_Region_4_North_and_Central_America/USA_United_States_of_America/NY_New_York/USA_NY_New.York-LaGuardia.AP.725030_US.Normals.1991-2020.zip")</f>
        <v>https://climate.onebuilding.org/WMO_Region_4_North_and_Central_America/USA_United_States_of_America/NY_New_York/USA_NY_New.York-LaGuardia.AP.725030_US.Normals.1991-2020.zip</v>
      </c>
    </row>
    <row r="1347" spans="1:10" x14ac:dyDescent="0.25">
      <c r="A1347" t="s">
        <v>35</v>
      </c>
      <c r="B1347" t="s">
        <v>824</v>
      </c>
      <c r="C1347" t="s">
        <v>843</v>
      </c>
      <c r="D1347" s="2">
        <v>725030</v>
      </c>
      <c r="E1347" t="s">
        <v>13</v>
      </c>
      <c r="F1347">
        <v>40.779400000000003</v>
      </c>
      <c r="G1347">
        <v>-73.880300000000005</v>
      </c>
      <c r="H1347">
        <v>-5</v>
      </c>
      <c r="I1347">
        <v>3.4</v>
      </c>
      <c r="J1347" t="str">
        <f>HYPERLINK("https://climate.onebuilding.org/WMO_Region_4_North_and_Central_America/USA_United_States_of_America/NY_New_York/USA_NY_New.York-LaGuardia.AP.725030_US.Normals.2006-2020.zip")</f>
        <v>https://climate.onebuilding.org/WMO_Region_4_North_and_Central_America/USA_United_States_of_America/NY_New_York/USA_NY_New.York-LaGuardia.AP.725030_US.Normals.2006-2020.zip</v>
      </c>
    </row>
    <row r="1348" spans="1:10" x14ac:dyDescent="0.25">
      <c r="A1348" t="s">
        <v>35</v>
      </c>
      <c r="B1348" t="s">
        <v>824</v>
      </c>
      <c r="C1348" t="s">
        <v>844</v>
      </c>
      <c r="D1348" s="2">
        <v>725287</v>
      </c>
      <c r="E1348" t="s">
        <v>13</v>
      </c>
      <c r="F1348">
        <v>43.107199999999999</v>
      </c>
      <c r="G1348">
        <v>-78.945300000000003</v>
      </c>
      <c r="H1348">
        <v>-5</v>
      </c>
      <c r="I1348">
        <v>178.3</v>
      </c>
      <c r="J1348" t="str">
        <f>HYPERLINK("https://climate.onebuilding.org/WMO_Region_4_North_and_Central_America/USA_United_States_of_America/NY_New_York/USA_NY_Niagara.Falls.Intl.AP.725287_US.Normals.1981-2010.zip")</f>
        <v>https://climate.onebuilding.org/WMO_Region_4_North_and_Central_America/USA_United_States_of_America/NY_New_York/USA_NY_Niagara.Falls.Intl.AP.725287_US.Normals.1981-2010.zip</v>
      </c>
    </row>
    <row r="1349" spans="1:10" x14ac:dyDescent="0.25">
      <c r="A1349" t="s">
        <v>35</v>
      </c>
      <c r="B1349" t="s">
        <v>824</v>
      </c>
      <c r="C1349" t="s">
        <v>844</v>
      </c>
      <c r="D1349" s="2">
        <v>725287</v>
      </c>
      <c r="E1349" t="s">
        <v>13</v>
      </c>
      <c r="F1349">
        <v>43.107199999999999</v>
      </c>
      <c r="G1349">
        <v>-78.945300000000003</v>
      </c>
      <c r="H1349">
        <v>-5</v>
      </c>
      <c r="I1349">
        <v>178.3</v>
      </c>
      <c r="J1349" t="str">
        <f>HYPERLINK("https://climate.onebuilding.org/WMO_Region_4_North_and_Central_America/USA_United_States_of_America/NY_New_York/USA_NY_Niagara.Falls.Intl.AP.725287_US.Normals.1991-2020.zip")</f>
        <v>https://climate.onebuilding.org/WMO_Region_4_North_and_Central_America/USA_United_States_of_America/NY_New_York/USA_NY_Niagara.Falls.Intl.AP.725287_US.Normals.1991-2020.zip</v>
      </c>
    </row>
    <row r="1350" spans="1:10" x14ac:dyDescent="0.25">
      <c r="A1350" t="s">
        <v>35</v>
      </c>
      <c r="B1350" t="s">
        <v>824</v>
      </c>
      <c r="C1350" t="s">
        <v>844</v>
      </c>
      <c r="D1350" s="2">
        <v>725287</v>
      </c>
      <c r="E1350" t="s">
        <v>13</v>
      </c>
      <c r="F1350">
        <v>43.107199999999999</v>
      </c>
      <c r="G1350">
        <v>-78.945300000000003</v>
      </c>
      <c r="H1350">
        <v>-5</v>
      </c>
      <c r="I1350">
        <v>178.3</v>
      </c>
      <c r="J1350" t="str">
        <f>HYPERLINK("https://climate.onebuilding.org/WMO_Region_4_North_and_Central_America/USA_United_States_of_America/NY_New_York/USA_NY_Niagara.Falls.Intl.AP.725287_US.Normals.2006-2020.zip")</f>
        <v>https://climate.onebuilding.org/WMO_Region_4_North_and_Central_America/USA_United_States_of_America/NY_New_York/USA_NY_Niagara.Falls.Intl.AP.725287_US.Normals.2006-2020.zip</v>
      </c>
    </row>
    <row r="1351" spans="1:10" x14ac:dyDescent="0.25">
      <c r="A1351" t="s">
        <v>35</v>
      </c>
      <c r="B1351" t="s">
        <v>824</v>
      </c>
      <c r="C1351" t="s">
        <v>845</v>
      </c>
      <c r="D1351" s="2">
        <v>725194</v>
      </c>
      <c r="E1351" t="s">
        <v>13</v>
      </c>
      <c r="F1351">
        <v>42.642499999999998</v>
      </c>
      <c r="G1351">
        <v>-77.056399999999996</v>
      </c>
      <c r="H1351">
        <v>-5</v>
      </c>
      <c r="I1351">
        <v>275.2</v>
      </c>
      <c r="J1351" t="str">
        <f>HYPERLINK("https://climate.onebuilding.org/WMO_Region_4_North_and_Central_America/USA_United_States_of_America/NY_New_York/USA_NY_Penn.Yan.AP.725194_US.Normals.2006-2020.zip")</f>
        <v>https://climate.onebuilding.org/WMO_Region_4_North_and_Central_America/USA_United_States_of_America/NY_New_York/USA_NY_Penn.Yan.AP.725194_US.Normals.2006-2020.zip</v>
      </c>
    </row>
    <row r="1352" spans="1:10" x14ac:dyDescent="0.25">
      <c r="A1352" t="s">
        <v>35</v>
      </c>
      <c r="B1352" t="s">
        <v>824</v>
      </c>
      <c r="C1352" t="s">
        <v>846</v>
      </c>
      <c r="D1352" s="2">
        <v>726225</v>
      </c>
      <c r="E1352" t="s">
        <v>13</v>
      </c>
      <c r="F1352">
        <v>44.65</v>
      </c>
      <c r="G1352">
        <v>-73.466700000000003</v>
      </c>
      <c r="H1352">
        <v>-5</v>
      </c>
      <c r="I1352">
        <v>71.3</v>
      </c>
      <c r="J1352" t="str">
        <f>HYPERLINK("https://climate.onebuilding.org/WMO_Region_4_North_and_Central_America/USA_United_States_of_America/NY_New_York/USA_NY_Plattsburgh.Intl.AP.726225_US.Normals.2006-2020.zip")</f>
        <v>https://climate.onebuilding.org/WMO_Region_4_North_and_Central_America/USA_United_States_of_America/NY_New_York/USA_NY_Plattsburgh.Intl.AP.726225_US.Normals.2006-2020.zip</v>
      </c>
    </row>
    <row r="1353" spans="1:10" x14ac:dyDescent="0.25">
      <c r="A1353" t="s">
        <v>35</v>
      </c>
      <c r="B1353" t="s">
        <v>824</v>
      </c>
      <c r="C1353" t="s">
        <v>847</v>
      </c>
      <c r="D1353" s="2">
        <v>725036</v>
      </c>
      <c r="E1353" t="s">
        <v>13</v>
      </c>
      <c r="F1353">
        <v>41.6267</v>
      </c>
      <c r="G1353">
        <v>-73.884200000000007</v>
      </c>
      <c r="H1353">
        <v>-5</v>
      </c>
      <c r="I1353">
        <v>50.6</v>
      </c>
      <c r="J1353" t="str">
        <f>HYPERLINK("https://climate.onebuilding.org/WMO_Region_4_North_and_Central_America/USA_United_States_of_America/NY_New_York/USA_NY_Poughkeepsie-Hudson.Valley.Rgnl.AP.725036_US.Normals.1991-2020.zip")</f>
        <v>https://climate.onebuilding.org/WMO_Region_4_North_and_Central_America/USA_United_States_of_America/NY_New_York/USA_NY_Poughkeepsie-Hudson.Valley.Rgnl.AP.725036_US.Normals.1991-2020.zip</v>
      </c>
    </row>
    <row r="1354" spans="1:10" x14ac:dyDescent="0.25">
      <c r="A1354" t="s">
        <v>35</v>
      </c>
      <c r="B1354" t="s">
        <v>824</v>
      </c>
      <c r="C1354" t="s">
        <v>847</v>
      </c>
      <c r="D1354" s="2">
        <v>725036</v>
      </c>
      <c r="E1354" t="s">
        <v>13</v>
      </c>
      <c r="F1354">
        <v>41.6267</v>
      </c>
      <c r="G1354">
        <v>-73.884200000000007</v>
      </c>
      <c r="H1354">
        <v>-5</v>
      </c>
      <c r="I1354">
        <v>50.6</v>
      </c>
      <c r="J1354" t="str">
        <f>HYPERLINK("https://climate.onebuilding.org/WMO_Region_4_North_and_Central_America/USA_United_States_of_America/NY_New_York/USA_NY_Poughkeepsie-Hudson.Valley.Rgnl.AP.725036_US.Normals.2006-2020.zip")</f>
        <v>https://climate.onebuilding.org/WMO_Region_4_North_and_Central_America/USA_United_States_of_America/NY_New_York/USA_NY_Poughkeepsie-Hudson.Valley.Rgnl.AP.725036_US.Normals.2006-2020.zip</v>
      </c>
    </row>
    <row r="1355" spans="1:10" x14ac:dyDescent="0.25">
      <c r="A1355" t="s">
        <v>35</v>
      </c>
      <c r="B1355" t="s">
        <v>824</v>
      </c>
      <c r="C1355" t="s">
        <v>848</v>
      </c>
      <c r="D1355" s="2">
        <v>725290</v>
      </c>
      <c r="E1355" t="s">
        <v>13</v>
      </c>
      <c r="F1355">
        <v>43.116700000000002</v>
      </c>
      <c r="G1355">
        <v>-77.676699999999997</v>
      </c>
      <c r="H1355">
        <v>-5</v>
      </c>
      <c r="I1355">
        <v>162.5</v>
      </c>
      <c r="J1355" t="str">
        <f>HYPERLINK("https://climate.onebuilding.org/WMO_Region_4_North_and_Central_America/USA_United_States_of_America/NY_New_York/USA_NY_Rochester-Greater.Rochester.Intl.AP.725290_US.Normals.1991-2020.zip")</f>
        <v>https://climate.onebuilding.org/WMO_Region_4_North_and_Central_America/USA_United_States_of_America/NY_New_York/USA_NY_Rochester-Greater.Rochester.Intl.AP.725290_US.Normals.1991-2020.zip</v>
      </c>
    </row>
    <row r="1356" spans="1:10" x14ac:dyDescent="0.25">
      <c r="A1356" t="s">
        <v>35</v>
      </c>
      <c r="B1356" t="s">
        <v>824</v>
      </c>
      <c r="C1356" t="s">
        <v>849</v>
      </c>
      <c r="D1356" s="2">
        <v>725196</v>
      </c>
      <c r="E1356" t="s">
        <v>13</v>
      </c>
      <c r="F1356">
        <v>43.233899999999998</v>
      </c>
      <c r="G1356">
        <v>-75.411699999999996</v>
      </c>
      <c r="H1356">
        <v>-5</v>
      </c>
      <c r="I1356">
        <v>158.19999999999999</v>
      </c>
      <c r="J1356" t="str">
        <f>HYPERLINK("https://climate.onebuilding.org/WMO_Region_4_North_and_Central_America/USA_United_States_of_America/NY_New_York/USA_NY_Rome-Griffiss.Intl.AP.725196_US.Normals.2006-2020.zip")</f>
        <v>https://climate.onebuilding.org/WMO_Region_4_North_and_Central_America/USA_United_States_of_America/NY_New_York/USA_NY_Rome-Griffiss.Intl.AP.725196_US.Normals.2006-2020.zip</v>
      </c>
    </row>
    <row r="1357" spans="1:10" x14ac:dyDescent="0.25">
      <c r="A1357" t="s">
        <v>35</v>
      </c>
      <c r="B1357" t="s">
        <v>824</v>
      </c>
      <c r="C1357" t="s">
        <v>850</v>
      </c>
      <c r="D1357" s="2">
        <v>726228</v>
      </c>
      <c r="E1357" t="s">
        <v>13</v>
      </c>
      <c r="F1357">
        <v>44.385300000000001</v>
      </c>
      <c r="G1357">
        <v>-74.206699999999998</v>
      </c>
      <c r="H1357">
        <v>-5</v>
      </c>
      <c r="I1357">
        <v>506.9</v>
      </c>
      <c r="J1357" t="str">
        <f>HYPERLINK("https://climate.onebuilding.org/WMO_Region_4_North_and_Central_America/USA_United_States_of_America/NY_New_York/USA_NY_Saranac.Lake-Adirondack.Rgnl.AP.726228_US.Normals.2006-2020.zip")</f>
        <v>https://climate.onebuilding.org/WMO_Region_4_North_and_Central_America/USA_United_States_of_America/NY_New_York/USA_NY_Saranac.Lake-Adirondack.Rgnl.AP.726228_US.Normals.2006-2020.zip</v>
      </c>
    </row>
    <row r="1358" spans="1:10" x14ac:dyDescent="0.25">
      <c r="A1358" t="s">
        <v>35</v>
      </c>
      <c r="B1358" t="s">
        <v>824</v>
      </c>
      <c r="C1358" t="s">
        <v>851</v>
      </c>
      <c r="D1358" s="2">
        <v>725190</v>
      </c>
      <c r="E1358" t="s">
        <v>13</v>
      </c>
      <c r="F1358">
        <v>43.1111</v>
      </c>
      <c r="G1358">
        <v>-76.103899999999996</v>
      </c>
      <c r="H1358">
        <v>-5</v>
      </c>
      <c r="I1358">
        <v>125.9</v>
      </c>
      <c r="J1358" t="str">
        <f>HYPERLINK("https://climate.onebuilding.org/WMO_Region_4_North_and_Central_America/USA_United_States_of_America/NY_New_York/USA_NY_Syracuse.Hancock.Intl.AP.725190_US.Normals.1981-2010.zip")</f>
        <v>https://climate.onebuilding.org/WMO_Region_4_North_and_Central_America/USA_United_States_of_America/NY_New_York/USA_NY_Syracuse.Hancock.Intl.AP.725190_US.Normals.1981-2010.zip</v>
      </c>
    </row>
    <row r="1359" spans="1:10" x14ac:dyDescent="0.25">
      <c r="A1359" t="s">
        <v>35</v>
      </c>
      <c r="B1359" t="s">
        <v>824</v>
      </c>
      <c r="C1359" t="s">
        <v>851</v>
      </c>
      <c r="D1359" s="2">
        <v>725190</v>
      </c>
      <c r="E1359" t="s">
        <v>13</v>
      </c>
      <c r="F1359">
        <v>43.1111</v>
      </c>
      <c r="G1359">
        <v>-76.103899999999996</v>
      </c>
      <c r="H1359">
        <v>-5</v>
      </c>
      <c r="I1359">
        <v>125.9</v>
      </c>
      <c r="J1359" t="str">
        <f>HYPERLINK("https://climate.onebuilding.org/WMO_Region_4_North_and_Central_America/USA_United_States_of_America/NY_New_York/USA_NY_Syracuse.Hancock.Intl.AP.725190_US.Normals.1991-2020.zip")</f>
        <v>https://climate.onebuilding.org/WMO_Region_4_North_and_Central_America/USA_United_States_of_America/NY_New_York/USA_NY_Syracuse.Hancock.Intl.AP.725190_US.Normals.1991-2020.zip</v>
      </c>
    </row>
    <row r="1360" spans="1:10" x14ac:dyDescent="0.25">
      <c r="A1360" t="s">
        <v>35</v>
      </c>
      <c r="B1360" t="s">
        <v>824</v>
      </c>
      <c r="C1360" t="s">
        <v>851</v>
      </c>
      <c r="D1360" s="2">
        <v>725190</v>
      </c>
      <c r="E1360" t="s">
        <v>13</v>
      </c>
      <c r="F1360">
        <v>43.1111</v>
      </c>
      <c r="G1360">
        <v>-76.103899999999996</v>
      </c>
      <c r="H1360">
        <v>-5</v>
      </c>
      <c r="I1360">
        <v>125.9</v>
      </c>
      <c r="J1360" t="str">
        <f>HYPERLINK("https://climate.onebuilding.org/WMO_Region_4_North_and_Central_America/USA_United_States_of_America/NY_New_York/USA_NY_Syracuse.Hancock.Intl.AP.725190_US.Normals.2006-2020.zip")</f>
        <v>https://climate.onebuilding.org/WMO_Region_4_North_and_Central_America/USA_United_States_of_America/NY_New_York/USA_NY_Syracuse.Hancock.Intl.AP.725190_US.Normals.2006-2020.zip</v>
      </c>
    </row>
    <row r="1361" spans="1:10" x14ac:dyDescent="0.25">
      <c r="A1361" t="s">
        <v>35</v>
      </c>
      <c r="B1361" t="s">
        <v>824</v>
      </c>
      <c r="C1361" t="s">
        <v>852</v>
      </c>
      <c r="D1361" s="2">
        <v>743700</v>
      </c>
      <c r="E1361" t="s">
        <v>13</v>
      </c>
      <c r="F1361">
        <v>44.05</v>
      </c>
      <c r="G1361">
        <v>-75.7333</v>
      </c>
      <c r="H1361">
        <v>-5</v>
      </c>
      <c r="I1361">
        <v>214</v>
      </c>
      <c r="J1361" t="str">
        <f>HYPERLINK("https://climate.onebuilding.org/WMO_Region_4_North_and_Central_America/USA_United_States_of_America/NY_New_York/USA_NY_Watertown-Fort.Drum-Wheeler-Sack.AAF.743700_US.Normals.1991-2020.zip")</f>
        <v>https://climate.onebuilding.org/WMO_Region_4_North_and_Central_America/USA_United_States_of_America/NY_New_York/USA_NY_Watertown-Fort.Drum-Wheeler-Sack.AAF.743700_US.Normals.1991-2020.zip</v>
      </c>
    </row>
    <row r="1362" spans="1:10" x14ac:dyDescent="0.25">
      <c r="A1362" t="s">
        <v>35</v>
      </c>
      <c r="B1362" t="s">
        <v>824</v>
      </c>
      <c r="C1362" t="s">
        <v>852</v>
      </c>
      <c r="D1362" s="2">
        <v>743700</v>
      </c>
      <c r="E1362" t="s">
        <v>13</v>
      </c>
      <c r="F1362">
        <v>44.05</v>
      </c>
      <c r="G1362">
        <v>-75.7333</v>
      </c>
      <c r="H1362">
        <v>-5</v>
      </c>
      <c r="I1362">
        <v>214</v>
      </c>
      <c r="J1362" t="str">
        <f>HYPERLINK("https://climate.onebuilding.org/WMO_Region_4_North_and_Central_America/USA_United_States_of_America/NY_New_York/USA_NY_Watertown-Fort.Drum-Wheeler-Sack.AAF.743700_US.Normals.2006-2020.zip")</f>
        <v>https://climate.onebuilding.org/WMO_Region_4_North_and_Central_America/USA_United_States_of_America/NY_New_York/USA_NY_Watertown-Fort.Drum-Wheeler-Sack.AAF.743700_US.Normals.2006-2020.zip</v>
      </c>
    </row>
    <row r="1363" spans="1:10" x14ac:dyDescent="0.25">
      <c r="A1363" t="s">
        <v>35</v>
      </c>
      <c r="B1363" t="s">
        <v>824</v>
      </c>
      <c r="C1363" t="s">
        <v>853</v>
      </c>
      <c r="D1363" s="2">
        <v>726227</v>
      </c>
      <c r="E1363" t="s">
        <v>13</v>
      </c>
      <c r="F1363">
        <v>43.992199999999997</v>
      </c>
      <c r="G1363">
        <v>-76.021699999999996</v>
      </c>
      <c r="H1363">
        <v>-5</v>
      </c>
      <c r="I1363">
        <v>96.9</v>
      </c>
      <c r="J1363" t="str">
        <f>HYPERLINK("https://climate.onebuilding.org/WMO_Region_4_North_and_Central_America/USA_United_States_of_America/NY_New_York/USA_NY_Watertown.Intl.AP.726227_US.Normals.1981-2010.zip")</f>
        <v>https://climate.onebuilding.org/WMO_Region_4_North_and_Central_America/USA_United_States_of_America/NY_New_York/USA_NY_Watertown.Intl.AP.726227_US.Normals.1981-2010.zip</v>
      </c>
    </row>
    <row r="1364" spans="1:10" x14ac:dyDescent="0.25">
      <c r="A1364" t="s">
        <v>35</v>
      </c>
      <c r="B1364" t="s">
        <v>824</v>
      </c>
      <c r="C1364" t="s">
        <v>853</v>
      </c>
      <c r="D1364" s="2">
        <v>726227</v>
      </c>
      <c r="E1364" t="s">
        <v>13</v>
      </c>
      <c r="F1364">
        <v>43.992199999999997</v>
      </c>
      <c r="G1364">
        <v>-76.021699999999996</v>
      </c>
      <c r="H1364">
        <v>-5</v>
      </c>
      <c r="I1364">
        <v>96.9</v>
      </c>
      <c r="J1364" t="str">
        <f>HYPERLINK("https://climate.onebuilding.org/WMO_Region_4_North_and_Central_America/USA_United_States_of_America/NY_New_York/USA_NY_Watertown.Intl.AP.726227_US.Normals.1991-2020.zip")</f>
        <v>https://climate.onebuilding.org/WMO_Region_4_North_and_Central_America/USA_United_States_of_America/NY_New_York/USA_NY_Watertown.Intl.AP.726227_US.Normals.1991-2020.zip</v>
      </c>
    </row>
    <row r="1365" spans="1:10" x14ac:dyDescent="0.25">
      <c r="A1365" t="s">
        <v>35</v>
      </c>
      <c r="B1365" t="s">
        <v>824</v>
      </c>
      <c r="C1365" t="s">
        <v>853</v>
      </c>
      <c r="D1365" s="2">
        <v>726227</v>
      </c>
      <c r="E1365" t="s">
        <v>13</v>
      </c>
      <c r="F1365">
        <v>43.992199999999997</v>
      </c>
      <c r="G1365">
        <v>-76.021699999999996</v>
      </c>
      <c r="H1365">
        <v>-5</v>
      </c>
      <c r="I1365">
        <v>96.9</v>
      </c>
      <c r="J1365" t="str">
        <f>HYPERLINK("https://climate.onebuilding.org/WMO_Region_4_North_and_Central_America/USA_United_States_of_America/NY_New_York/USA_NY_Watertown.Intl.AP.726227_US.Normals.2006-2020.zip")</f>
        <v>https://climate.onebuilding.org/WMO_Region_4_North_and_Central_America/USA_United_States_of_America/NY_New_York/USA_NY_Watertown.Intl.AP.726227_US.Normals.2006-2020.zip</v>
      </c>
    </row>
    <row r="1366" spans="1:10" x14ac:dyDescent="0.25">
      <c r="A1366" t="s">
        <v>35</v>
      </c>
      <c r="B1366" t="s">
        <v>824</v>
      </c>
      <c r="C1366" t="s">
        <v>854</v>
      </c>
      <c r="D1366" s="2">
        <v>725157</v>
      </c>
      <c r="E1366" t="s">
        <v>13</v>
      </c>
      <c r="F1366">
        <v>42.109400000000001</v>
      </c>
      <c r="G1366">
        <v>-77.991900000000001</v>
      </c>
      <c r="H1366">
        <v>-5</v>
      </c>
      <c r="I1366">
        <v>647.4</v>
      </c>
      <c r="J1366" t="str">
        <f>HYPERLINK("https://climate.onebuilding.org/WMO_Region_4_North_and_Central_America/USA_United_States_of_America/NY_New_York/USA_NY_Wellsville.Muni.AP-Tarantine.Field.725157_US.Normals.2006-2020.zip")</f>
        <v>https://climate.onebuilding.org/WMO_Region_4_North_and_Central_America/USA_United_States_of_America/NY_New_York/USA_NY_Wellsville.Muni.AP-Tarantine.Field.725157_US.Normals.2006-2020.zip</v>
      </c>
    </row>
    <row r="1367" spans="1:10" x14ac:dyDescent="0.25">
      <c r="A1367" t="s">
        <v>35</v>
      </c>
      <c r="B1367" t="s">
        <v>824</v>
      </c>
      <c r="C1367" t="s">
        <v>855</v>
      </c>
      <c r="D1367" s="2">
        <v>744865</v>
      </c>
      <c r="E1367" t="s">
        <v>13</v>
      </c>
      <c r="F1367">
        <v>40.843600000000002</v>
      </c>
      <c r="G1367">
        <v>-72.632199999999997</v>
      </c>
      <c r="H1367">
        <v>-5</v>
      </c>
      <c r="I1367">
        <v>20.399999999999999</v>
      </c>
      <c r="J1367" t="str">
        <f>HYPERLINK("https://climate.onebuilding.org/WMO_Region_4_North_and_Central_America/USA_United_States_of_America/NY_New_York/USA_NY_Westhampton-Gabreski.AP.744865_US.Normals.2006-2020.zip")</f>
        <v>https://climate.onebuilding.org/WMO_Region_4_North_and_Central_America/USA_United_States_of_America/NY_New_York/USA_NY_Westhampton-Gabreski.AP.744865_US.Normals.2006-2020.zip</v>
      </c>
    </row>
    <row r="1368" spans="1:10" x14ac:dyDescent="0.25">
      <c r="A1368" t="s">
        <v>35</v>
      </c>
      <c r="B1368" t="s">
        <v>824</v>
      </c>
      <c r="C1368" t="s">
        <v>856</v>
      </c>
      <c r="D1368" s="2">
        <v>725037</v>
      </c>
      <c r="E1368" t="s">
        <v>13</v>
      </c>
      <c r="F1368">
        <v>41.066899999999997</v>
      </c>
      <c r="G1368">
        <v>-73.707499999999996</v>
      </c>
      <c r="H1368">
        <v>-5</v>
      </c>
      <c r="I1368">
        <v>115.5</v>
      </c>
      <c r="J1368" t="str">
        <f>HYPERLINK("https://climate.onebuilding.org/WMO_Region_4_North_and_Central_America/USA_United_States_of_America/NY_New_York/USA_NY_White.Plains-Westchester.County.AP.725037_US.Normals.1991-2020.zip")</f>
        <v>https://climate.onebuilding.org/WMO_Region_4_North_and_Central_America/USA_United_States_of_America/NY_New_York/USA_NY_White.Plains-Westchester.County.AP.725037_US.Normals.1991-2020.zip</v>
      </c>
    </row>
    <row r="1369" spans="1:10" x14ac:dyDescent="0.25">
      <c r="A1369" t="s">
        <v>35</v>
      </c>
      <c r="B1369" t="s">
        <v>824</v>
      </c>
      <c r="C1369" t="s">
        <v>856</v>
      </c>
      <c r="D1369" s="2">
        <v>725037</v>
      </c>
      <c r="E1369" t="s">
        <v>13</v>
      </c>
      <c r="F1369">
        <v>41.066899999999997</v>
      </c>
      <c r="G1369">
        <v>-73.707499999999996</v>
      </c>
      <c r="H1369">
        <v>-5</v>
      </c>
      <c r="I1369">
        <v>115.5</v>
      </c>
      <c r="J1369" t="str">
        <f>HYPERLINK("https://climate.onebuilding.org/WMO_Region_4_North_and_Central_America/USA_United_States_of_America/NY_New_York/USA_NY_White.Plains-Westchester.County.AP.725037_US.Normals.2006-2020.zip")</f>
        <v>https://climate.onebuilding.org/WMO_Region_4_North_and_Central_America/USA_United_States_of_America/NY_New_York/USA_NY_White.Plains-Westchester.County.AP.725037_US.Normals.2006-2020.zip</v>
      </c>
    </row>
    <row r="1370" spans="1:10" x14ac:dyDescent="0.25">
      <c r="A1370" t="s">
        <v>35</v>
      </c>
      <c r="B1370" t="s">
        <v>857</v>
      </c>
      <c r="C1370" t="s">
        <v>858</v>
      </c>
      <c r="D1370" s="2">
        <v>725210</v>
      </c>
      <c r="E1370" t="s">
        <v>13</v>
      </c>
      <c r="F1370">
        <v>40.916699999999999</v>
      </c>
      <c r="G1370">
        <v>-81.433300000000003</v>
      </c>
      <c r="H1370">
        <v>-5</v>
      </c>
      <c r="I1370">
        <v>368.2</v>
      </c>
      <c r="J1370" t="str">
        <f>HYPERLINK("https://climate.onebuilding.org/WMO_Region_4_North_and_Central_America/USA_United_States_of_America/OH_Ohio/USA_OH_Akron-Canton.AP.725210_US.Normals.1981-2010.zip")</f>
        <v>https://climate.onebuilding.org/WMO_Region_4_North_and_Central_America/USA_United_States_of_America/OH_Ohio/USA_OH_Akron-Canton.AP.725210_US.Normals.1981-2010.zip</v>
      </c>
    </row>
    <row r="1371" spans="1:10" x14ac:dyDescent="0.25">
      <c r="A1371" t="s">
        <v>35</v>
      </c>
      <c r="B1371" t="s">
        <v>857</v>
      </c>
      <c r="C1371" t="s">
        <v>858</v>
      </c>
      <c r="D1371" s="2">
        <v>725210</v>
      </c>
      <c r="E1371" t="s">
        <v>13</v>
      </c>
      <c r="F1371">
        <v>40.916699999999999</v>
      </c>
      <c r="G1371">
        <v>-81.433300000000003</v>
      </c>
      <c r="H1371">
        <v>-5</v>
      </c>
      <c r="I1371">
        <v>368.2</v>
      </c>
      <c r="J1371" t="str">
        <f>HYPERLINK("https://climate.onebuilding.org/WMO_Region_4_North_and_Central_America/USA_United_States_of_America/OH_Ohio/USA_OH_Akron-Canton.AP.725210_US.Normals.1991-2020.zip")</f>
        <v>https://climate.onebuilding.org/WMO_Region_4_North_and_Central_America/USA_United_States_of_America/OH_Ohio/USA_OH_Akron-Canton.AP.725210_US.Normals.1991-2020.zip</v>
      </c>
    </row>
    <row r="1372" spans="1:10" x14ac:dyDescent="0.25">
      <c r="A1372" t="s">
        <v>35</v>
      </c>
      <c r="B1372" t="s">
        <v>857</v>
      </c>
      <c r="C1372" t="s">
        <v>858</v>
      </c>
      <c r="D1372" s="2">
        <v>725210</v>
      </c>
      <c r="E1372" t="s">
        <v>13</v>
      </c>
      <c r="F1372">
        <v>40.916699999999999</v>
      </c>
      <c r="G1372">
        <v>-81.433300000000003</v>
      </c>
      <c r="H1372">
        <v>-5</v>
      </c>
      <c r="I1372">
        <v>368.2</v>
      </c>
      <c r="J1372" t="str">
        <f>HYPERLINK("https://climate.onebuilding.org/WMO_Region_4_North_and_Central_America/USA_United_States_of_America/OH_Ohio/USA_OH_Akron-Canton.AP.725210_US.Normals.2006-2020.zip")</f>
        <v>https://climate.onebuilding.org/WMO_Region_4_North_and_Central_America/USA_United_States_of_America/OH_Ohio/USA_OH_Akron-Canton.AP.725210_US.Normals.2006-2020.zip</v>
      </c>
    </row>
    <row r="1373" spans="1:10" x14ac:dyDescent="0.25">
      <c r="A1373" t="s">
        <v>35</v>
      </c>
      <c r="B1373" t="s">
        <v>857</v>
      </c>
      <c r="C1373" t="s">
        <v>859</v>
      </c>
      <c r="D1373" s="2">
        <v>724303</v>
      </c>
      <c r="E1373" t="s">
        <v>13</v>
      </c>
      <c r="F1373">
        <v>41.037500000000001</v>
      </c>
      <c r="G1373">
        <v>-81.464200000000005</v>
      </c>
      <c r="H1373">
        <v>-5</v>
      </c>
      <c r="I1373">
        <v>318.2</v>
      </c>
      <c r="J1373" t="str">
        <f>HYPERLINK("https://climate.onebuilding.org/WMO_Region_4_North_and_Central_America/USA_United_States_of_America/OH_Ohio/USA_OH_Akron.Fulton.Intl.AP.724303_US.Normals.2006-2020.zip")</f>
        <v>https://climate.onebuilding.org/WMO_Region_4_North_and_Central_America/USA_United_States_of_America/OH_Ohio/USA_OH_Akron.Fulton.Intl.AP.724303_US.Normals.2006-2020.zip</v>
      </c>
    </row>
    <row r="1374" spans="1:10" x14ac:dyDescent="0.25">
      <c r="A1374" t="s">
        <v>35</v>
      </c>
      <c r="B1374" t="s">
        <v>857</v>
      </c>
      <c r="C1374" t="s">
        <v>860</v>
      </c>
      <c r="D1374" s="2">
        <v>724297</v>
      </c>
      <c r="E1374" t="s">
        <v>13</v>
      </c>
      <c r="F1374">
        <v>39.103299999999997</v>
      </c>
      <c r="G1374">
        <v>-84.418899999999994</v>
      </c>
      <c r="H1374">
        <v>-6</v>
      </c>
      <c r="I1374">
        <v>149.4</v>
      </c>
      <c r="J1374" t="str">
        <f>HYPERLINK("https://climate.onebuilding.org/WMO_Region_4_North_and_Central_America/USA_United_States_of_America/OH_Ohio/USA_OH_Cincinnati.Muni.AP-Lunken.Field.724297_US.Normals.1981-2010.zip")</f>
        <v>https://climate.onebuilding.org/WMO_Region_4_North_and_Central_America/USA_United_States_of_America/OH_Ohio/USA_OH_Cincinnati.Muni.AP-Lunken.Field.724297_US.Normals.1981-2010.zip</v>
      </c>
    </row>
    <row r="1375" spans="1:10" x14ac:dyDescent="0.25">
      <c r="A1375" t="s">
        <v>35</v>
      </c>
      <c r="B1375" t="s">
        <v>857</v>
      </c>
      <c r="C1375" t="s">
        <v>860</v>
      </c>
      <c r="D1375" s="2">
        <v>724297</v>
      </c>
      <c r="E1375" t="s">
        <v>13</v>
      </c>
      <c r="F1375">
        <v>39.103299999999997</v>
      </c>
      <c r="G1375">
        <v>-84.418899999999994</v>
      </c>
      <c r="H1375">
        <v>-6</v>
      </c>
      <c r="I1375">
        <v>149.4</v>
      </c>
      <c r="J1375" t="str">
        <f>HYPERLINK("https://climate.onebuilding.org/WMO_Region_4_North_and_Central_America/USA_United_States_of_America/OH_Ohio/USA_OH_Cincinnati.Muni.AP-Lunken.Field.724297_US.Normals.1991-2020.zip")</f>
        <v>https://climate.onebuilding.org/WMO_Region_4_North_and_Central_America/USA_United_States_of_America/OH_Ohio/USA_OH_Cincinnati.Muni.AP-Lunken.Field.724297_US.Normals.1991-2020.zip</v>
      </c>
    </row>
    <row r="1376" spans="1:10" x14ac:dyDescent="0.25">
      <c r="A1376" t="s">
        <v>35</v>
      </c>
      <c r="B1376" t="s">
        <v>857</v>
      </c>
      <c r="C1376" t="s">
        <v>860</v>
      </c>
      <c r="D1376" s="2">
        <v>724297</v>
      </c>
      <c r="E1376" t="s">
        <v>13</v>
      </c>
      <c r="F1376">
        <v>39.103299999999997</v>
      </c>
      <c r="G1376">
        <v>-84.418899999999994</v>
      </c>
      <c r="H1376">
        <v>-6</v>
      </c>
      <c r="I1376">
        <v>149.4</v>
      </c>
      <c r="J1376" t="str">
        <f>HYPERLINK("https://climate.onebuilding.org/WMO_Region_4_North_and_Central_America/USA_United_States_of_America/OH_Ohio/USA_OH_Cincinnati.Muni.AP-Lunken.Field.724297_US.Normals.2006-2020.zip")</f>
        <v>https://climate.onebuilding.org/WMO_Region_4_North_and_Central_America/USA_United_States_of_America/OH_Ohio/USA_OH_Cincinnati.Muni.AP-Lunken.Field.724297_US.Normals.2006-2020.zip</v>
      </c>
    </row>
    <row r="1377" spans="1:10" x14ac:dyDescent="0.25">
      <c r="A1377" t="s">
        <v>35</v>
      </c>
      <c r="B1377" t="s">
        <v>857</v>
      </c>
      <c r="C1377" t="s">
        <v>861</v>
      </c>
      <c r="D1377" s="2">
        <v>725245</v>
      </c>
      <c r="E1377" t="s">
        <v>13</v>
      </c>
      <c r="F1377">
        <v>41.517499999999998</v>
      </c>
      <c r="G1377">
        <v>-81.683599999999998</v>
      </c>
      <c r="H1377">
        <v>-5</v>
      </c>
      <c r="I1377">
        <v>178</v>
      </c>
      <c r="J1377" t="str">
        <f>HYPERLINK("https://climate.onebuilding.org/WMO_Region_4_North_and_Central_America/USA_United_States_of_America/OH_Ohio/USA_OH_Cleveland-Burke.Lakefront.AP.725245_US.Normals.1991-2020.zip")</f>
        <v>https://climate.onebuilding.org/WMO_Region_4_North_and_Central_America/USA_United_States_of_America/OH_Ohio/USA_OH_Cleveland-Burke.Lakefront.AP.725245_US.Normals.1991-2020.zip</v>
      </c>
    </row>
    <row r="1378" spans="1:10" x14ac:dyDescent="0.25">
      <c r="A1378" t="s">
        <v>35</v>
      </c>
      <c r="B1378" t="s">
        <v>857</v>
      </c>
      <c r="C1378" t="s">
        <v>861</v>
      </c>
      <c r="D1378" s="2">
        <v>725245</v>
      </c>
      <c r="E1378" t="s">
        <v>13</v>
      </c>
      <c r="F1378">
        <v>41.517499999999998</v>
      </c>
      <c r="G1378">
        <v>-81.683599999999998</v>
      </c>
      <c r="H1378">
        <v>-5</v>
      </c>
      <c r="I1378">
        <v>178</v>
      </c>
      <c r="J1378" t="str">
        <f>HYPERLINK("https://climate.onebuilding.org/WMO_Region_4_North_and_Central_America/USA_United_States_of_America/OH_Ohio/USA_OH_Cleveland-Burke.Lakefront.AP.725245_US.Normals.2006-2020.zip")</f>
        <v>https://climate.onebuilding.org/WMO_Region_4_North_and_Central_America/USA_United_States_of_America/OH_Ohio/USA_OH_Cleveland-Burke.Lakefront.AP.725245_US.Normals.2006-2020.zip</v>
      </c>
    </row>
    <row r="1379" spans="1:10" x14ac:dyDescent="0.25">
      <c r="A1379" t="s">
        <v>35</v>
      </c>
      <c r="B1379" t="s">
        <v>857</v>
      </c>
      <c r="C1379" t="s">
        <v>862</v>
      </c>
      <c r="D1379" s="2">
        <v>725240</v>
      </c>
      <c r="E1379" t="s">
        <v>13</v>
      </c>
      <c r="F1379">
        <v>41.4131</v>
      </c>
      <c r="G1379">
        <v>-81.86</v>
      </c>
      <c r="H1379">
        <v>-5</v>
      </c>
      <c r="I1379">
        <v>232.6</v>
      </c>
      <c r="J1379" t="str">
        <f>HYPERLINK("https://climate.onebuilding.org/WMO_Region_4_North_and_Central_America/USA_United_States_of_America/OH_Ohio/USA_OH_Cleveland.Hopkins.Intl.AP.725240_US.Normals.1981-2010.zip")</f>
        <v>https://climate.onebuilding.org/WMO_Region_4_North_and_Central_America/USA_United_States_of_America/OH_Ohio/USA_OH_Cleveland.Hopkins.Intl.AP.725240_US.Normals.1981-2010.zip</v>
      </c>
    </row>
    <row r="1380" spans="1:10" x14ac:dyDescent="0.25">
      <c r="A1380" t="s">
        <v>35</v>
      </c>
      <c r="B1380" t="s">
        <v>857</v>
      </c>
      <c r="C1380" t="s">
        <v>862</v>
      </c>
      <c r="D1380" s="2">
        <v>725240</v>
      </c>
      <c r="E1380" t="s">
        <v>13</v>
      </c>
      <c r="F1380">
        <v>41.4131</v>
      </c>
      <c r="G1380">
        <v>-81.86</v>
      </c>
      <c r="H1380">
        <v>-5</v>
      </c>
      <c r="I1380">
        <v>232.6</v>
      </c>
      <c r="J1380" t="str">
        <f>HYPERLINK("https://climate.onebuilding.org/WMO_Region_4_North_and_Central_America/USA_United_States_of_America/OH_Ohio/USA_OH_Cleveland.Hopkins.Intl.AP.725240_US.Normals.1991-2020.zip")</f>
        <v>https://climate.onebuilding.org/WMO_Region_4_North_and_Central_America/USA_United_States_of_America/OH_Ohio/USA_OH_Cleveland.Hopkins.Intl.AP.725240_US.Normals.1991-2020.zip</v>
      </c>
    </row>
    <row r="1381" spans="1:10" x14ac:dyDescent="0.25">
      <c r="A1381" t="s">
        <v>35</v>
      </c>
      <c r="B1381" t="s">
        <v>857</v>
      </c>
      <c r="C1381" t="s">
        <v>862</v>
      </c>
      <c r="D1381" s="2">
        <v>725240</v>
      </c>
      <c r="E1381" t="s">
        <v>13</v>
      </c>
      <c r="F1381">
        <v>41.4131</v>
      </c>
      <c r="G1381">
        <v>-81.86</v>
      </c>
      <c r="H1381">
        <v>-5</v>
      </c>
      <c r="I1381">
        <v>232.6</v>
      </c>
      <c r="J1381" t="str">
        <f>HYPERLINK("https://climate.onebuilding.org/WMO_Region_4_North_and_Central_America/USA_United_States_of_America/OH_Ohio/USA_OH_Cleveland.Hopkins.Intl.AP.725240_US.Normals.2006-2020.zip")</f>
        <v>https://climate.onebuilding.org/WMO_Region_4_North_and_Central_America/USA_United_States_of_America/OH_Ohio/USA_OH_Cleveland.Hopkins.Intl.AP.725240_US.Normals.2006-2020.zip</v>
      </c>
    </row>
    <row r="1382" spans="1:10" x14ac:dyDescent="0.25">
      <c r="A1382" t="s">
        <v>35</v>
      </c>
      <c r="B1382" t="s">
        <v>857</v>
      </c>
      <c r="C1382" t="s">
        <v>863</v>
      </c>
      <c r="D1382" s="2">
        <v>724280</v>
      </c>
      <c r="E1382" t="s">
        <v>13</v>
      </c>
      <c r="F1382">
        <v>39.991399999999999</v>
      </c>
      <c r="G1382">
        <v>-82.880799999999994</v>
      </c>
      <c r="H1382">
        <v>-6</v>
      </c>
      <c r="I1382">
        <v>246.9</v>
      </c>
      <c r="J1382" t="str">
        <f>HYPERLINK("https://climate.onebuilding.org/WMO_Region_4_North_and_Central_America/USA_United_States_of_America/OH_Ohio/USA_OH_Columbus-Glenn.Columbus.Intl.AP.724280_US.Normals.1981-2010.zip")</f>
        <v>https://climate.onebuilding.org/WMO_Region_4_North_and_Central_America/USA_United_States_of_America/OH_Ohio/USA_OH_Columbus-Glenn.Columbus.Intl.AP.724280_US.Normals.1981-2010.zip</v>
      </c>
    </row>
    <row r="1383" spans="1:10" x14ac:dyDescent="0.25">
      <c r="A1383" t="s">
        <v>35</v>
      </c>
      <c r="B1383" t="s">
        <v>857</v>
      </c>
      <c r="C1383" t="s">
        <v>863</v>
      </c>
      <c r="D1383" s="2">
        <v>724280</v>
      </c>
      <c r="E1383" t="s">
        <v>13</v>
      </c>
      <c r="F1383">
        <v>39.991399999999999</v>
      </c>
      <c r="G1383">
        <v>-82.880799999999994</v>
      </c>
      <c r="H1383">
        <v>-6</v>
      </c>
      <c r="I1383">
        <v>246.9</v>
      </c>
      <c r="J1383" t="str">
        <f>HYPERLINK("https://climate.onebuilding.org/WMO_Region_4_North_and_Central_America/USA_United_States_of_America/OH_Ohio/USA_OH_Columbus-Glenn.Columbus.Intl.AP.724280_US.Normals.1991-2020.zip")</f>
        <v>https://climate.onebuilding.org/WMO_Region_4_North_and_Central_America/USA_United_States_of_America/OH_Ohio/USA_OH_Columbus-Glenn.Columbus.Intl.AP.724280_US.Normals.1991-2020.zip</v>
      </c>
    </row>
    <row r="1384" spans="1:10" x14ac:dyDescent="0.25">
      <c r="A1384" t="s">
        <v>35</v>
      </c>
      <c r="B1384" t="s">
        <v>857</v>
      </c>
      <c r="C1384" t="s">
        <v>863</v>
      </c>
      <c r="D1384" s="2">
        <v>724280</v>
      </c>
      <c r="E1384" t="s">
        <v>13</v>
      </c>
      <c r="F1384">
        <v>39.991399999999999</v>
      </c>
      <c r="G1384">
        <v>-82.880799999999994</v>
      </c>
      <c r="H1384">
        <v>-6</v>
      </c>
      <c r="I1384">
        <v>246.9</v>
      </c>
      <c r="J1384" t="str">
        <f>HYPERLINK("https://climate.onebuilding.org/WMO_Region_4_North_and_Central_America/USA_United_States_of_America/OH_Ohio/USA_OH_Columbus-Glenn.Columbus.Intl.AP.724280_US.Normals.2006-2020.zip")</f>
        <v>https://climate.onebuilding.org/WMO_Region_4_North_and_Central_America/USA_United_States_of_America/OH_Ohio/USA_OH_Columbus-Glenn.Columbus.Intl.AP.724280_US.Normals.2006-2020.zip</v>
      </c>
    </row>
    <row r="1385" spans="1:10" x14ac:dyDescent="0.25">
      <c r="A1385" t="s">
        <v>35</v>
      </c>
      <c r="B1385" t="s">
        <v>857</v>
      </c>
      <c r="C1385" t="s">
        <v>864</v>
      </c>
      <c r="D1385" s="2">
        <v>724288</v>
      </c>
      <c r="E1385" t="s">
        <v>13</v>
      </c>
      <c r="F1385">
        <v>40.078099999999999</v>
      </c>
      <c r="G1385">
        <v>-83.078100000000006</v>
      </c>
      <c r="H1385">
        <v>-6</v>
      </c>
      <c r="I1385">
        <v>275.8</v>
      </c>
      <c r="J1385" t="str">
        <f>HYPERLINK("https://climate.onebuilding.org/WMO_Region_4_North_and_Central_America/USA_United_States_of_America/OH_Ohio/USA_OH_Columbus-Ohio.State.Univ.AP.724288_US.Normals.2006-2020.zip")</f>
        <v>https://climate.onebuilding.org/WMO_Region_4_North_and_Central_America/USA_United_States_of_America/OH_Ohio/USA_OH_Columbus-Ohio.State.Univ.AP.724288_US.Normals.2006-2020.zip</v>
      </c>
    </row>
    <row r="1386" spans="1:10" x14ac:dyDescent="0.25">
      <c r="A1386" t="s">
        <v>35</v>
      </c>
      <c r="B1386" t="s">
        <v>857</v>
      </c>
      <c r="C1386" t="s">
        <v>865</v>
      </c>
      <c r="D1386" s="2">
        <v>724285</v>
      </c>
      <c r="E1386" t="s">
        <v>13</v>
      </c>
      <c r="F1386">
        <v>39.816699999999997</v>
      </c>
      <c r="G1386">
        <v>-82.933300000000003</v>
      </c>
      <c r="H1386">
        <v>-6</v>
      </c>
      <c r="I1386">
        <v>230.1</v>
      </c>
      <c r="J1386" t="str">
        <f>HYPERLINK("https://climate.onebuilding.org/WMO_Region_4_North_and_Central_America/USA_United_States_of_America/OH_Ohio/USA_OH_Columbus-Rickenbacker.ANGB.724285_US.Normals.2006-2020.zip")</f>
        <v>https://climate.onebuilding.org/WMO_Region_4_North_and_Central_America/USA_United_States_of_America/OH_Ohio/USA_OH_Columbus-Rickenbacker.ANGB.724285_US.Normals.2006-2020.zip</v>
      </c>
    </row>
    <row r="1387" spans="1:10" x14ac:dyDescent="0.25">
      <c r="A1387" t="s">
        <v>35</v>
      </c>
      <c r="B1387" t="s">
        <v>857</v>
      </c>
      <c r="C1387" t="s">
        <v>866</v>
      </c>
      <c r="D1387" s="2">
        <v>745700</v>
      </c>
      <c r="E1387" t="s">
        <v>13</v>
      </c>
      <c r="F1387">
        <v>39.833300000000001</v>
      </c>
      <c r="G1387">
        <v>-84.05</v>
      </c>
      <c r="H1387">
        <v>-6</v>
      </c>
      <c r="I1387">
        <v>250.9</v>
      </c>
      <c r="J1387" t="str">
        <f>HYPERLINK("https://climate.onebuilding.org/WMO_Region_4_North_and_Central_America/USA_United_States_of_America/OH_Ohio/USA_OH_Dayton-Wright-Patterson.AFB.745700_US.Normals.1981-2010.zip")</f>
        <v>https://climate.onebuilding.org/WMO_Region_4_North_and_Central_America/USA_United_States_of_America/OH_Ohio/USA_OH_Dayton-Wright-Patterson.AFB.745700_US.Normals.1981-2010.zip</v>
      </c>
    </row>
    <row r="1388" spans="1:10" x14ac:dyDescent="0.25">
      <c r="A1388" t="s">
        <v>35</v>
      </c>
      <c r="B1388" t="s">
        <v>857</v>
      </c>
      <c r="C1388" t="s">
        <v>866</v>
      </c>
      <c r="D1388" s="2">
        <v>745700</v>
      </c>
      <c r="E1388" t="s">
        <v>13</v>
      </c>
      <c r="F1388">
        <v>39.833300000000001</v>
      </c>
      <c r="G1388">
        <v>-84.05</v>
      </c>
      <c r="H1388">
        <v>-6</v>
      </c>
      <c r="I1388">
        <v>250.9</v>
      </c>
      <c r="J1388" t="str">
        <f>HYPERLINK("https://climate.onebuilding.org/WMO_Region_4_North_and_Central_America/USA_United_States_of_America/OH_Ohio/USA_OH_Dayton-Wright-Patterson.AFB.745700_US.Normals.1991-2020.zip")</f>
        <v>https://climate.onebuilding.org/WMO_Region_4_North_and_Central_America/USA_United_States_of_America/OH_Ohio/USA_OH_Dayton-Wright-Patterson.AFB.745700_US.Normals.1991-2020.zip</v>
      </c>
    </row>
    <row r="1389" spans="1:10" x14ac:dyDescent="0.25">
      <c r="A1389" t="s">
        <v>35</v>
      </c>
      <c r="B1389" t="s">
        <v>857</v>
      </c>
      <c r="C1389" t="s">
        <v>866</v>
      </c>
      <c r="D1389" s="2">
        <v>745700</v>
      </c>
      <c r="E1389" t="s">
        <v>13</v>
      </c>
      <c r="F1389">
        <v>39.833300000000001</v>
      </c>
      <c r="G1389">
        <v>-84.05</v>
      </c>
      <c r="H1389">
        <v>-6</v>
      </c>
      <c r="I1389">
        <v>250.9</v>
      </c>
      <c r="J1389" t="str">
        <f>HYPERLINK("https://climate.onebuilding.org/WMO_Region_4_North_and_Central_America/USA_United_States_of_America/OH_Ohio/USA_OH_Dayton-Wright-Patterson.AFB.745700_US.Normals.2006-2020.zip")</f>
        <v>https://climate.onebuilding.org/WMO_Region_4_North_and_Central_America/USA_United_States_of_America/OH_Ohio/USA_OH_Dayton-Wright-Patterson.AFB.745700_US.Normals.2006-2020.zip</v>
      </c>
    </row>
    <row r="1390" spans="1:10" x14ac:dyDescent="0.25">
      <c r="A1390" t="s">
        <v>35</v>
      </c>
      <c r="B1390" t="s">
        <v>857</v>
      </c>
      <c r="C1390" t="s">
        <v>867</v>
      </c>
      <c r="D1390" s="2">
        <v>724276</v>
      </c>
      <c r="E1390" t="s">
        <v>13</v>
      </c>
      <c r="F1390">
        <v>39.593600000000002</v>
      </c>
      <c r="G1390">
        <v>-84.226399999999998</v>
      </c>
      <c r="H1390">
        <v>-6</v>
      </c>
      <c r="I1390">
        <v>293.2</v>
      </c>
      <c r="J1390" t="str">
        <f>HYPERLINK("https://climate.onebuilding.org/WMO_Region_4_North_and_Central_America/USA_United_States_of_America/OH_Ohio/USA_OH_Dayton-Wright.Brothers.AP.724276_US.Normals.2006-2020.zip")</f>
        <v>https://climate.onebuilding.org/WMO_Region_4_North_and_Central_America/USA_United_States_of_America/OH_Ohio/USA_OH_Dayton-Wright.Brothers.AP.724276_US.Normals.2006-2020.zip</v>
      </c>
    </row>
    <row r="1391" spans="1:10" x14ac:dyDescent="0.25">
      <c r="A1391" t="s">
        <v>35</v>
      </c>
      <c r="B1391" t="s">
        <v>857</v>
      </c>
      <c r="C1391" t="s">
        <v>868</v>
      </c>
      <c r="D1391" s="2">
        <v>724290</v>
      </c>
      <c r="E1391" t="s">
        <v>13</v>
      </c>
      <c r="F1391">
        <v>39.906100000000002</v>
      </c>
      <c r="G1391">
        <v>-84.218599999999995</v>
      </c>
      <c r="H1391">
        <v>-6</v>
      </c>
      <c r="I1391">
        <v>304.8</v>
      </c>
      <c r="J1391" t="str">
        <f>HYPERLINK("https://climate.onebuilding.org/WMO_Region_4_North_and_Central_America/USA_United_States_of_America/OH_Ohio/USA_OH_Dayton.Intl.AP.724290_US.Normals.1981-2010.zip")</f>
        <v>https://climate.onebuilding.org/WMO_Region_4_North_and_Central_America/USA_United_States_of_America/OH_Ohio/USA_OH_Dayton.Intl.AP.724290_US.Normals.1981-2010.zip</v>
      </c>
    </row>
    <row r="1392" spans="1:10" x14ac:dyDescent="0.25">
      <c r="A1392" t="s">
        <v>35</v>
      </c>
      <c r="B1392" t="s">
        <v>857</v>
      </c>
      <c r="C1392" t="s">
        <v>868</v>
      </c>
      <c r="D1392" s="2">
        <v>724290</v>
      </c>
      <c r="E1392" t="s">
        <v>13</v>
      </c>
      <c r="F1392">
        <v>39.906100000000002</v>
      </c>
      <c r="G1392">
        <v>-84.218599999999995</v>
      </c>
      <c r="H1392">
        <v>-6</v>
      </c>
      <c r="I1392">
        <v>304.8</v>
      </c>
      <c r="J1392" t="str">
        <f>HYPERLINK("https://climate.onebuilding.org/WMO_Region_4_North_and_Central_America/USA_United_States_of_America/OH_Ohio/USA_OH_Dayton.Intl.AP.724290_US.Normals.1991-2020.zip")</f>
        <v>https://climate.onebuilding.org/WMO_Region_4_North_and_Central_America/USA_United_States_of_America/OH_Ohio/USA_OH_Dayton.Intl.AP.724290_US.Normals.1991-2020.zip</v>
      </c>
    </row>
    <row r="1393" spans="1:10" x14ac:dyDescent="0.25">
      <c r="A1393" t="s">
        <v>35</v>
      </c>
      <c r="B1393" t="s">
        <v>857</v>
      </c>
      <c r="C1393" t="s">
        <v>868</v>
      </c>
      <c r="D1393" s="2">
        <v>724290</v>
      </c>
      <c r="E1393" t="s">
        <v>13</v>
      </c>
      <c r="F1393">
        <v>39.906100000000002</v>
      </c>
      <c r="G1393">
        <v>-84.218599999999995</v>
      </c>
      <c r="H1393">
        <v>-6</v>
      </c>
      <c r="I1393">
        <v>304.8</v>
      </c>
      <c r="J1393" t="str">
        <f>HYPERLINK("https://climate.onebuilding.org/WMO_Region_4_North_and_Central_America/USA_United_States_of_America/OH_Ohio/USA_OH_Dayton.Intl.AP.724290_US.Normals.2006-2020.zip")</f>
        <v>https://climate.onebuilding.org/WMO_Region_4_North_and_Central_America/USA_United_States_of_America/OH_Ohio/USA_OH_Dayton.Intl.AP.724290_US.Normals.2006-2020.zip</v>
      </c>
    </row>
    <row r="1394" spans="1:10" x14ac:dyDescent="0.25">
      <c r="A1394" t="s">
        <v>35</v>
      </c>
      <c r="B1394" t="s">
        <v>857</v>
      </c>
      <c r="C1394" t="s">
        <v>869</v>
      </c>
      <c r="D1394" s="2">
        <v>725254</v>
      </c>
      <c r="E1394" t="s">
        <v>13</v>
      </c>
      <c r="F1394">
        <v>41.337499999999999</v>
      </c>
      <c r="G1394">
        <v>-84.428899999999999</v>
      </c>
      <c r="H1394">
        <v>-6</v>
      </c>
      <c r="I1394">
        <v>215.8</v>
      </c>
      <c r="J1394" t="str">
        <f>HYPERLINK("https://climate.onebuilding.org/WMO_Region_4_North_and_Central_America/USA_United_States_of_America/OH_Ohio/USA_OH_Defiance.Meml.AP.725254_US.Normals.2006-2020.zip")</f>
        <v>https://climate.onebuilding.org/WMO_Region_4_North_and_Central_America/USA_United_States_of_America/OH_Ohio/USA_OH_Defiance.Meml.AP.725254_US.Normals.2006-2020.zip</v>
      </c>
    </row>
    <row r="1395" spans="1:10" x14ac:dyDescent="0.25">
      <c r="A1395" t="s">
        <v>35</v>
      </c>
      <c r="B1395" t="s">
        <v>857</v>
      </c>
      <c r="C1395" t="s">
        <v>870</v>
      </c>
      <c r="D1395" s="2">
        <v>725366</v>
      </c>
      <c r="E1395" t="s">
        <v>13</v>
      </c>
      <c r="F1395">
        <v>41.013599999999997</v>
      </c>
      <c r="G1395">
        <v>-83.668599999999998</v>
      </c>
      <c r="H1395">
        <v>-6</v>
      </c>
      <c r="I1395">
        <v>243.8</v>
      </c>
      <c r="J1395" t="str">
        <f>HYPERLINK("https://climate.onebuilding.org/WMO_Region_4_North_and_Central_America/USA_United_States_of_America/OH_Ohio/USA_OH_Findlay.AP.725366_US.Normals.1981-2010.zip")</f>
        <v>https://climate.onebuilding.org/WMO_Region_4_North_and_Central_America/USA_United_States_of_America/OH_Ohio/USA_OH_Findlay.AP.725366_US.Normals.1981-2010.zip</v>
      </c>
    </row>
    <row r="1396" spans="1:10" x14ac:dyDescent="0.25">
      <c r="A1396" t="s">
        <v>35</v>
      </c>
      <c r="B1396" t="s">
        <v>857</v>
      </c>
      <c r="C1396" t="s">
        <v>870</v>
      </c>
      <c r="D1396" s="2">
        <v>725366</v>
      </c>
      <c r="E1396" t="s">
        <v>13</v>
      </c>
      <c r="F1396">
        <v>41.013599999999997</v>
      </c>
      <c r="G1396">
        <v>-83.668599999999998</v>
      </c>
      <c r="H1396">
        <v>-6</v>
      </c>
      <c r="I1396">
        <v>243.8</v>
      </c>
      <c r="J1396" t="str">
        <f>HYPERLINK("https://climate.onebuilding.org/WMO_Region_4_North_and_Central_America/USA_United_States_of_America/OH_Ohio/USA_OH_Findlay.AP.725366_US.Normals.1991-2020.zip")</f>
        <v>https://climate.onebuilding.org/WMO_Region_4_North_and_Central_America/USA_United_States_of_America/OH_Ohio/USA_OH_Findlay.AP.725366_US.Normals.1991-2020.zip</v>
      </c>
    </row>
    <row r="1397" spans="1:10" x14ac:dyDescent="0.25">
      <c r="A1397" t="s">
        <v>35</v>
      </c>
      <c r="B1397" t="s">
        <v>857</v>
      </c>
      <c r="C1397" t="s">
        <v>870</v>
      </c>
      <c r="D1397" s="2">
        <v>725366</v>
      </c>
      <c r="E1397" t="s">
        <v>13</v>
      </c>
      <c r="F1397">
        <v>41.013599999999997</v>
      </c>
      <c r="G1397">
        <v>-83.668599999999998</v>
      </c>
      <c r="H1397">
        <v>-6</v>
      </c>
      <c r="I1397">
        <v>243.8</v>
      </c>
      <c r="J1397" t="str">
        <f>HYPERLINK("https://climate.onebuilding.org/WMO_Region_4_North_and_Central_America/USA_United_States_of_America/OH_Ohio/USA_OH_Findlay.AP.725366_US.Normals.2006-2020.zip")</f>
        <v>https://climate.onebuilding.org/WMO_Region_4_North_and_Central_America/USA_United_States_of_America/OH_Ohio/USA_OH_Findlay.AP.725366_US.Normals.2006-2020.zip</v>
      </c>
    </row>
    <row r="1398" spans="1:10" x14ac:dyDescent="0.25">
      <c r="A1398" t="s">
        <v>35</v>
      </c>
      <c r="B1398" t="s">
        <v>857</v>
      </c>
      <c r="C1398" t="s">
        <v>871</v>
      </c>
      <c r="D1398" s="2">
        <v>725217</v>
      </c>
      <c r="E1398" t="s">
        <v>13</v>
      </c>
      <c r="F1398">
        <v>39.364400000000003</v>
      </c>
      <c r="G1398">
        <v>-84.524699999999996</v>
      </c>
      <c r="H1398">
        <v>-6</v>
      </c>
      <c r="I1398">
        <v>193.2</v>
      </c>
      <c r="J1398" t="str">
        <f>HYPERLINK("https://climate.onebuilding.org/WMO_Region_4_North_and_Central_America/USA_United_States_of_America/OH_Ohio/USA_OH_Hamilton-Butler.County.Rgnl.AP.725217_US.Normals.2006-2020.zip")</f>
        <v>https://climate.onebuilding.org/WMO_Region_4_North_and_Central_America/USA_United_States_of_America/OH_Ohio/USA_OH_Hamilton-Butler.County.Rgnl.AP.725217_US.Normals.2006-2020.zip</v>
      </c>
    </row>
    <row r="1399" spans="1:10" x14ac:dyDescent="0.25">
      <c r="A1399" t="s">
        <v>35</v>
      </c>
      <c r="B1399" t="s">
        <v>857</v>
      </c>
      <c r="C1399" t="s">
        <v>872</v>
      </c>
      <c r="D1399" s="2">
        <v>725256</v>
      </c>
      <c r="E1399" t="s">
        <v>13</v>
      </c>
      <c r="F1399">
        <v>41.778100000000002</v>
      </c>
      <c r="G1399">
        <v>-80.695800000000006</v>
      </c>
      <c r="H1399">
        <v>-5</v>
      </c>
      <c r="I1399">
        <v>281.60000000000002</v>
      </c>
      <c r="J1399" t="str">
        <f>HYPERLINK("https://climate.onebuilding.org/WMO_Region_4_North_and_Central_America/USA_United_States_of_America/OH_Ohio/USA_OH_Jefferson-Northeast.Ohio.Rgnl.AP.725256_US.Normals.2006-2020.zip")</f>
        <v>https://climate.onebuilding.org/WMO_Region_4_North_and_Central_America/USA_United_States_of_America/OH_Ohio/USA_OH_Jefferson-Northeast.Ohio.Rgnl.AP.725256_US.Normals.2006-2020.zip</v>
      </c>
    </row>
    <row r="1400" spans="1:10" x14ac:dyDescent="0.25">
      <c r="A1400" t="s">
        <v>35</v>
      </c>
      <c r="B1400" t="s">
        <v>857</v>
      </c>
      <c r="C1400" t="s">
        <v>873</v>
      </c>
      <c r="D1400" s="2">
        <v>724294</v>
      </c>
      <c r="E1400" t="s">
        <v>13</v>
      </c>
      <c r="F1400">
        <v>39.755600000000001</v>
      </c>
      <c r="G1400">
        <v>-82.657200000000003</v>
      </c>
      <c r="H1400">
        <v>-6</v>
      </c>
      <c r="I1400">
        <v>264.89999999999998</v>
      </c>
      <c r="J1400" t="str">
        <f>HYPERLINK("https://climate.onebuilding.org/WMO_Region_4_North_and_Central_America/USA_United_States_of_America/OH_Ohio/USA_OH_Lancaster-Fairfield.County.AP.724294_US.Normals.2006-2020.zip")</f>
        <v>https://climate.onebuilding.org/WMO_Region_4_North_and_Central_America/USA_United_States_of_America/OH_Ohio/USA_OH_Lancaster-Fairfield.County.AP.724294_US.Normals.2006-2020.zip</v>
      </c>
    </row>
    <row r="1401" spans="1:10" x14ac:dyDescent="0.25">
      <c r="A1401" t="s">
        <v>35</v>
      </c>
      <c r="B1401" t="s">
        <v>857</v>
      </c>
      <c r="C1401" t="s">
        <v>874</v>
      </c>
      <c r="D1401" s="2">
        <v>724298</v>
      </c>
      <c r="E1401" t="s">
        <v>13</v>
      </c>
      <c r="F1401">
        <v>40.708300000000001</v>
      </c>
      <c r="G1401">
        <v>-84.026700000000005</v>
      </c>
      <c r="H1401">
        <v>-6</v>
      </c>
      <c r="I1401">
        <v>297.2</v>
      </c>
      <c r="J1401" t="str">
        <f>HYPERLINK("https://climate.onebuilding.org/WMO_Region_4_North_and_Central_America/USA_United_States_of_America/OH_Ohio/USA_OH_Lima.Allen.County.AP.724298_US.Normals.2006-2020.zip")</f>
        <v>https://climate.onebuilding.org/WMO_Region_4_North_and_Central_America/USA_United_States_of_America/OH_Ohio/USA_OH_Lima.Allen.County.AP.724298_US.Normals.2006-2020.zip</v>
      </c>
    </row>
    <row r="1402" spans="1:10" x14ac:dyDescent="0.25">
      <c r="A1402" t="s">
        <v>35</v>
      </c>
      <c r="B1402" t="s">
        <v>857</v>
      </c>
      <c r="C1402" t="s">
        <v>875</v>
      </c>
      <c r="D1402" s="2">
        <v>725214</v>
      </c>
      <c r="E1402" t="s">
        <v>13</v>
      </c>
      <c r="F1402">
        <v>41.3461</v>
      </c>
      <c r="G1402">
        <v>-82.179400000000001</v>
      </c>
      <c r="H1402">
        <v>-5</v>
      </c>
      <c r="I1402">
        <v>242</v>
      </c>
      <c r="J1402" t="str">
        <f>HYPERLINK("https://climate.onebuilding.org/WMO_Region_4_North_and_Central_America/USA_United_States_of_America/OH_Ohio/USA_OH_Lorain.County.Rgnl.AP.725214_US.Normals.2006-2020.zip")</f>
        <v>https://climate.onebuilding.org/WMO_Region_4_North_and_Central_America/USA_United_States_of_America/OH_Ohio/USA_OH_Lorain.County.Rgnl.AP.725214_US.Normals.2006-2020.zip</v>
      </c>
    </row>
    <row r="1403" spans="1:10" x14ac:dyDescent="0.25">
      <c r="A1403" t="s">
        <v>35</v>
      </c>
      <c r="B1403" t="s">
        <v>857</v>
      </c>
      <c r="C1403" t="s">
        <v>876</v>
      </c>
      <c r="D1403" s="2">
        <v>724200</v>
      </c>
      <c r="E1403" t="s">
        <v>13</v>
      </c>
      <c r="F1403">
        <v>40.820300000000003</v>
      </c>
      <c r="G1403">
        <v>-82.517799999999994</v>
      </c>
      <c r="H1403">
        <v>-6</v>
      </c>
      <c r="I1403">
        <v>394.7</v>
      </c>
      <c r="J1403" t="str">
        <f>HYPERLINK("https://climate.onebuilding.org/WMO_Region_4_North_and_Central_America/USA_United_States_of_America/OH_Ohio/USA_OH_Mansfield.Lahm.Rgnl.AP.724200_US.Normals.1981-2010.zip")</f>
        <v>https://climate.onebuilding.org/WMO_Region_4_North_and_Central_America/USA_United_States_of_America/OH_Ohio/USA_OH_Mansfield.Lahm.Rgnl.AP.724200_US.Normals.1981-2010.zip</v>
      </c>
    </row>
    <row r="1404" spans="1:10" x14ac:dyDescent="0.25">
      <c r="A1404" t="s">
        <v>35</v>
      </c>
      <c r="B1404" t="s">
        <v>857</v>
      </c>
      <c r="C1404" t="s">
        <v>876</v>
      </c>
      <c r="D1404" s="2">
        <v>724200</v>
      </c>
      <c r="E1404" t="s">
        <v>13</v>
      </c>
      <c r="F1404">
        <v>40.820300000000003</v>
      </c>
      <c r="G1404">
        <v>-82.517799999999994</v>
      </c>
      <c r="H1404">
        <v>-6</v>
      </c>
      <c r="I1404">
        <v>394.7</v>
      </c>
      <c r="J1404" t="str">
        <f>HYPERLINK("https://climate.onebuilding.org/WMO_Region_4_North_and_Central_America/USA_United_States_of_America/OH_Ohio/USA_OH_Mansfield.Lahm.Rgnl.AP.724200_US.Normals.2006-2020.zip")</f>
        <v>https://climate.onebuilding.org/WMO_Region_4_North_and_Central_America/USA_United_States_of_America/OH_Ohio/USA_OH_Mansfield.Lahm.Rgnl.AP.724200_US.Normals.2006-2020.zip</v>
      </c>
    </row>
    <row r="1405" spans="1:10" x14ac:dyDescent="0.25">
      <c r="A1405" t="s">
        <v>35</v>
      </c>
      <c r="B1405" t="s">
        <v>857</v>
      </c>
      <c r="C1405" t="s">
        <v>877</v>
      </c>
      <c r="D1405" s="2">
        <v>725208</v>
      </c>
      <c r="E1405" t="s">
        <v>13</v>
      </c>
      <c r="F1405">
        <v>40.616100000000003</v>
      </c>
      <c r="G1405">
        <v>-83.063599999999994</v>
      </c>
      <c r="H1405">
        <v>-6</v>
      </c>
      <c r="I1405">
        <v>303</v>
      </c>
      <c r="J1405" t="str">
        <f>HYPERLINK("https://climate.onebuilding.org/WMO_Region_4_North_and_Central_America/USA_United_States_of_America/OH_Ohio/USA_OH_Marion.Muni.AP.725208_US.Normals.2006-2020.zip")</f>
        <v>https://climate.onebuilding.org/WMO_Region_4_North_and_Central_America/USA_United_States_of_America/OH_Ohio/USA_OH_Marion.Muni.AP.725208_US.Normals.2006-2020.zip</v>
      </c>
    </row>
    <row r="1406" spans="1:10" x14ac:dyDescent="0.25">
      <c r="A1406" t="s">
        <v>35</v>
      </c>
      <c r="B1406" t="s">
        <v>857</v>
      </c>
      <c r="C1406" t="s">
        <v>878</v>
      </c>
      <c r="D1406" s="2">
        <v>725224</v>
      </c>
      <c r="E1406" t="s">
        <v>13</v>
      </c>
      <c r="F1406">
        <v>40.471899999999998</v>
      </c>
      <c r="G1406">
        <v>-81.423599999999993</v>
      </c>
      <c r="H1406">
        <v>-5</v>
      </c>
      <c r="I1406">
        <v>272.8</v>
      </c>
      <c r="J1406" t="str">
        <f>HYPERLINK("https://climate.onebuilding.org/WMO_Region_4_North_and_Central_America/USA_United_States_of_America/OH_Ohio/USA_OH_New.Philadelphia-Clever.Field.AP.725224_US.Normals.2006-2020.zip")</f>
        <v>https://climate.onebuilding.org/WMO_Region_4_North_and_Central_America/USA_United_States_of_America/OH_Ohio/USA_OH_New.Philadelphia-Clever.Field.AP.725224_US.Normals.2006-2020.zip</v>
      </c>
    </row>
    <row r="1407" spans="1:10" x14ac:dyDescent="0.25">
      <c r="A1407" t="s">
        <v>35</v>
      </c>
      <c r="B1407" t="s">
        <v>857</v>
      </c>
      <c r="C1407" t="s">
        <v>879</v>
      </c>
      <c r="D1407" s="2">
        <v>725229</v>
      </c>
      <c r="E1407" t="s">
        <v>13</v>
      </c>
      <c r="F1407">
        <v>40.022799999999997</v>
      </c>
      <c r="G1407">
        <v>-82.462500000000006</v>
      </c>
      <c r="H1407">
        <v>-5</v>
      </c>
      <c r="I1407">
        <v>269.39999999999998</v>
      </c>
      <c r="J1407" t="str">
        <f>HYPERLINK("https://climate.onebuilding.org/WMO_Region_4_North_and_Central_America/USA_United_States_of_America/OH_Ohio/USA_OH_Newark-Heath.AP.725229_US.Normals.2006-2020.zip")</f>
        <v>https://climate.onebuilding.org/WMO_Region_4_North_and_Central_America/USA_United_States_of_America/OH_Ohio/USA_OH_Newark-Heath.AP.725229_US.Normals.2006-2020.zip</v>
      </c>
    </row>
    <row r="1408" spans="1:10" x14ac:dyDescent="0.25">
      <c r="A1408" t="s">
        <v>35</v>
      </c>
      <c r="B1408" t="s">
        <v>857</v>
      </c>
      <c r="C1408" t="s">
        <v>880</v>
      </c>
      <c r="D1408" s="2">
        <v>725216</v>
      </c>
      <c r="E1408" t="s">
        <v>13</v>
      </c>
      <c r="F1408">
        <v>40.873100000000001</v>
      </c>
      <c r="G1408">
        <v>-81.886700000000005</v>
      </c>
      <c r="H1408">
        <v>-5</v>
      </c>
      <c r="I1408">
        <v>346.6</v>
      </c>
      <c r="J1408" t="str">
        <f>HYPERLINK("https://climate.onebuilding.org/WMO_Region_4_North_and_Central_America/USA_United_States_of_America/OH_Ohio/USA_OH_Smithville-Wayne.County.AP.725216_US.Normals.2006-2020.zip")</f>
        <v>https://climate.onebuilding.org/WMO_Region_4_North_and_Central_America/USA_United_States_of_America/OH_Ohio/USA_OH_Smithville-Wayne.County.AP.725216_US.Normals.2006-2020.zip</v>
      </c>
    </row>
    <row r="1409" spans="1:10" x14ac:dyDescent="0.25">
      <c r="A1409" t="s">
        <v>35</v>
      </c>
      <c r="B1409" t="s">
        <v>857</v>
      </c>
      <c r="C1409" t="s">
        <v>881</v>
      </c>
      <c r="D1409" s="2">
        <v>724287</v>
      </c>
      <c r="E1409" t="s">
        <v>13</v>
      </c>
      <c r="F1409">
        <v>41.563099999999999</v>
      </c>
      <c r="G1409">
        <v>-83.476399999999998</v>
      </c>
      <c r="H1409">
        <v>-6</v>
      </c>
      <c r="I1409">
        <v>189.6</v>
      </c>
      <c r="J1409" t="str">
        <f>HYPERLINK("https://climate.onebuilding.org/WMO_Region_4_North_and_Central_America/USA_United_States_of_America/OH_Ohio/USA_OH_Toledo.Exec.AP-Metcalf.Field.724287_US.Normals.2006-2020.zip")</f>
        <v>https://climate.onebuilding.org/WMO_Region_4_North_and_Central_America/USA_United_States_of_America/OH_Ohio/USA_OH_Toledo.Exec.AP-Metcalf.Field.724287_US.Normals.2006-2020.zip</v>
      </c>
    </row>
    <row r="1410" spans="1:10" x14ac:dyDescent="0.25">
      <c r="A1410" t="s">
        <v>35</v>
      </c>
      <c r="B1410" t="s">
        <v>857</v>
      </c>
      <c r="C1410" t="s">
        <v>882</v>
      </c>
      <c r="D1410" s="2">
        <v>725360</v>
      </c>
      <c r="E1410" t="s">
        <v>13</v>
      </c>
      <c r="F1410">
        <v>41.5886</v>
      </c>
      <c r="G1410">
        <v>-83.801400000000001</v>
      </c>
      <c r="H1410">
        <v>-6</v>
      </c>
      <c r="I1410">
        <v>203.9</v>
      </c>
      <c r="J1410" t="str">
        <f>HYPERLINK("https://climate.onebuilding.org/WMO_Region_4_North_and_Central_America/USA_United_States_of_America/OH_Ohio/USA_OH_Toledo.Express.AP.725360_US.Normals.1981-2010.zip")</f>
        <v>https://climate.onebuilding.org/WMO_Region_4_North_and_Central_America/USA_United_States_of_America/OH_Ohio/USA_OH_Toledo.Express.AP.725360_US.Normals.1981-2010.zip</v>
      </c>
    </row>
    <row r="1411" spans="1:10" x14ac:dyDescent="0.25">
      <c r="A1411" t="s">
        <v>35</v>
      </c>
      <c r="B1411" t="s">
        <v>857</v>
      </c>
      <c r="C1411" t="s">
        <v>882</v>
      </c>
      <c r="D1411" s="2">
        <v>725360</v>
      </c>
      <c r="E1411" t="s">
        <v>13</v>
      </c>
      <c r="F1411">
        <v>41.5886</v>
      </c>
      <c r="G1411">
        <v>-83.801400000000001</v>
      </c>
      <c r="H1411">
        <v>-6</v>
      </c>
      <c r="I1411">
        <v>203.9</v>
      </c>
      <c r="J1411" t="str">
        <f>HYPERLINK("https://climate.onebuilding.org/WMO_Region_4_North_and_Central_America/USA_United_States_of_America/OH_Ohio/USA_OH_Toledo.Express.AP.725360_US.Normals.1991-2020.zip")</f>
        <v>https://climate.onebuilding.org/WMO_Region_4_North_and_Central_America/USA_United_States_of_America/OH_Ohio/USA_OH_Toledo.Express.AP.725360_US.Normals.1991-2020.zip</v>
      </c>
    </row>
    <row r="1412" spans="1:10" x14ac:dyDescent="0.25">
      <c r="A1412" t="s">
        <v>35</v>
      </c>
      <c r="B1412" t="s">
        <v>857</v>
      </c>
      <c r="C1412" t="s">
        <v>882</v>
      </c>
      <c r="D1412" s="2">
        <v>725360</v>
      </c>
      <c r="E1412" t="s">
        <v>13</v>
      </c>
      <c r="F1412">
        <v>41.5886</v>
      </c>
      <c r="G1412">
        <v>-83.801400000000001</v>
      </c>
      <c r="H1412">
        <v>-6</v>
      </c>
      <c r="I1412">
        <v>203.9</v>
      </c>
      <c r="J1412" t="str">
        <f>HYPERLINK("https://climate.onebuilding.org/WMO_Region_4_North_and_Central_America/USA_United_States_of_America/OH_Ohio/USA_OH_Toledo.Express.AP.725360_US.Normals.2006-2020.zip")</f>
        <v>https://climate.onebuilding.org/WMO_Region_4_North_and_Central_America/USA_United_States_of_America/OH_Ohio/USA_OH_Toledo.Express.AP.725360_US.Normals.2006-2020.zip</v>
      </c>
    </row>
    <row r="1413" spans="1:10" x14ac:dyDescent="0.25">
      <c r="A1413" t="s">
        <v>35</v>
      </c>
      <c r="B1413" t="s">
        <v>857</v>
      </c>
      <c r="C1413" t="s">
        <v>883</v>
      </c>
      <c r="D1413" s="2">
        <v>724296</v>
      </c>
      <c r="E1413" t="s">
        <v>13</v>
      </c>
      <c r="F1413">
        <v>39.420299999999997</v>
      </c>
      <c r="G1413">
        <v>-83.821700000000007</v>
      </c>
      <c r="H1413">
        <v>-6</v>
      </c>
      <c r="I1413">
        <v>321.89999999999998</v>
      </c>
      <c r="J1413" t="str">
        <f>HYPERLINK("https://climate.onebuilding.org/WMO_Region_4_North_and_Central_America/USA_United_States_of_America/OH_Ohio/USA_OH_Wilmington.WSFO.724296_US.Normals.2006-2020.zip")</f>
        <v>https://climate.onebuilding.org/WMO_Region_4_North_and_Central_America/USA_United_States_of_America/OH_Ohio/USA_OH_Wilmington.WSFO.724296_US.Normals.2006-2020.zip</v>
      </c>
    </row>
    <row r="1414" spans="1:10" x14ac:dyDescent="0.25">
      <c r="A1414" t="s">
        <v>35</v>
      </c>
      <c r="B1414" t="s">
        <v>857</v>
      </c>
      <c r="C1414" t="s">
        <v>884</v>
      </c>
      <c r="D1414" s="2">
        <v>725250</v>
      </c>
      <c r="E1414" t="s">
        <v>13</v>
      </c>
      <c r="F1414">
        <v>41.254399999999997</v>
      </c>
      <c r="G1414">
        <v>-80.673900000000003</v>
      </c>
      <c r="H1414">
        <v>-5</v>
      </c>
      <c r="I1414">
        <v>359.7</v>
      </c>
      <c r="J1414" t="str">
        <f>HYPERLINK("https://climate.onebuilding.org/WMO_Region_4_North_and_Central_America/USA_United_States_of_America/OH_Ohio/USA_OH_Youngstown-Warren.Rgnl.AP.725250_US.Normals.1981-2010.zip")</f>
        <v>https://climate.onebuilding.org/WMO_Region_4_North_and_Central_America/USA_United_States_of_America/OH_Ohio/USA_OH_Youngstown-Warren.Rgnl.AP.725250_US.Normals.1981-2010.zip</v>
      </c>
    </row>
    <row r="1415" spans="1:10" x14ac:dyDescent="0.25">
      <c r="A1415" t="s">
        <v>35</v>
      </c>
      <c r="B1415" t="s">
        <v>857</v>
      </c>
      <c r="C1415" t="s">
        <v>884</v>
      </c>
      <c r="D1415" s="2">
        <v>725250</v>
      </c>
      <c r="E1415" t="s">
        <v>13</v>
      </c>
      <c r="F1415">
        <v>41.254399999999997</v>
      </c>
      <c r="G1415">
        <v>-80.673900000000003</v>
      </c>
      <c r="H1415">
        <v>-5</v>
      </c>
      <c r="I1415">
        <v>359.7</v>
      </c>
      <c r="J1415" t="str">
        <f>HYPERLINK("https://climate.onebuilding.org/WMO_Region_4_North_and_Central_America/USA_United_States_of_America/OH_Ohio/USA_OH_Youngstown-Warren.Rgnl.AP.725250_US.Normals.1991-2020.zip")</f>
        <v>https://climate.onebuilding.org/WMO_Region_4_North_and_Central_America/USA_United_States_of_America/OH_Ohio/USA_OH_Youngstown-Warren.Rgnl.AP.725250_US.Normals.1991-2020.zip</v>
      </c>
    </row>
    <row r="1416" spans="1:10" x14ac:dyDescent="0.25">
      <c r="A1416" t="s">
        <v>35</v>
      </c>
      <c r="B1416" t="s">
        <v>857</v>
      </c>
      <c r="C1416" t="s">
        <v>884</v>
      </c>
      <c r="D1416" s="2">
        <v>725250</v>
      </c>
      <c r="E1416" t="s">
        <v>13</v>
      </c>
      <c r="F1416">
        <v>41.254399999999997</v>
      </c>
      <c r="G1416">
        <v>-80.673900000000003</v>
      </c>
      <c r="H1416">
        <v>-5</v>
      </c>
      <c r="I1416">
        <v>359.7</v>
      </c>
      <c r="J1416" t="str">
        <f>HYPERLINK("https://climate.onebuilding.org/WMO_Region_4_North_and_Central_America/USA_United_States_of_America/OH_Ohio/USA_OH_Youngstown-Warren.Rgnl.AP.725250_US.Normals.2006-2020.zip")</f>
        <v>https://climate.onebuilding.org/WMO_Region_4_North_and_Central_America/USA_United_States_of_America/OH_Ohio/USA_OH_Youngstown-Warren.Rgnl.AP.725250_US.Normals.2006-2020.zip</v>
      </c>
    </row>
    <row r="1417" spans="1:10" x14ac:dyDescent="0.25">
      <c r="A1417" t="s">
        <v>35</v>
      </c>
      <c r="B1417" t="s">
        <v>857</v>
      </c>
      <c r="C1417" t="s">
        <v>885</v>
      </c>
      <c r="D1417" s="2">
        <v>724286</v>
      </c>
      <c r="E1417" t="s">
        <v>13</v>
      </c>
      <c r="F1417">
        <v>39.944400000000002</v>
      </c>
      <c r="G1417">
        <v>-81.892200000000003</v>
      </c>
      <c r="H1417">
        <v>-5</v>
      </c>
      <c r="I1417">
        <v>268.2</v>
      </c>
      <c r="J1417" t="str">
        <f>HYPERLINK("https://climate.onebuilding.org/WMO_Region_4_North_and_Central_America/USA_United_States_of_America/OH_Ohio/USA_OH_Zanesville.Muni.AP.724286_US.Normals.1981-2010.zip")</f>
        <v>https://climate.onebuilding.org/WMO_Region_4_North_and_Central_America/USA_United_States_of_America/OH_Ohio/USA_OH_Zanesville.Muni.AP.724286_US.Normals.1981-2010.zip</v>
      </c>
    </row>
    <row r="1418" spans="1:10" x14ac:dyDescent="0.25">
      <c r="A1418" t="s">
        <v>35</v>
      </c>
      <c r="B1418" t="s">
        <v>857</v>
      </c>
      <c r="C1418" t="s">
        <v>885</v>
      </c>
      <c r="D1418" s="2">
        <v>724286</v>
      </c>
      <c r="E1418" t="s">
        <v>13</v>
      </c>
      <c r="F1418">
        <v>39.944400000000002</v>
      </c>
      <c r="G1418">
        <v>-81.892200000000003</v>
      </c>
      <c r="H1418">
        <v>-5</v>
      </c>
      <c r="I1418">
        <v>268.2</v>
      </c>
      <c r="J1418" t="str">
        <f>HYPERLINK("https://climate.onebuilding.org/WMO_Region_4_North_and_Central_America/USA_United_States_of_America/OH_Ohio/USA_OH_Zanesville.Muni.AP.724286_US.Normals.1991-2020.zip")</f>
        <v>https://climate.onebuilding.org/WMO_Region_4_North_and_Central_America/USA_United_States_of_America/OH_Ohio/USA_OH_Zanesville.Muni.AP.724286_US.Normals.1991-2020.zip</v>
      </c>
    </row>
    <row r="1419" spans="1:10" x14ac:dyDescent="0.25">
      <c r="A1419" t="s">
        <v>35</v>
      </c>
      <c r="B1419" t="s">
        <v>857</v>
      </c>
      <c r="C1419" t="s">
        <v>885</v>
      </c>
      <c r="D1419" s="2">
        <v>724286</v>
      </c>
      <c r="E1419" t="s">
        <v>13</v>
      </c>
      <c r="F1419">
        <v>39.944400000000002</v>
      </c>
      <c r="G1419">
        <v>-81.892200000000003</v>
      </c>
      <c r="H1419">
        <v>-5</v>
      </c>
      <c r="I1419">
        <v>268.2</v>
      </c>
      <c r="J1419" t="str">
        <f>HYPERLINK("https://climate.onebuilding.org/WMO_Region_4_North_and_Central_America/USA_United_States_of_America/OH_Ohio/USA_OH_Zanesville.Muni.AP.724286_US.Normals.2006-2020.zip")</f>
        <v>https://climate.onebuilding.org/WMO_Region_4_North_and_Central_America/USA_United_States_of_America/OH_Ohio/USA_OH_Zanesville.Muni.AP.724286_US.Normals.2006-2020.zip</v>
      </c>
    </row>
    <row r="1420" spans="1:10" x14ac:dyDescent="0.25">
      <c r="A1420" t="s">
        <v>35</v>
      </c>
      <c r="B1420" t="s">
        <v>886</v>
      </c>
      <c r="C1420" t="s">
        <v>887</v>
      </c>
      <c r="D1420" s="2">
        <v>723520</v>
      </c>
      <c r="E1420" t="s">
        <v>13</v>
      </c>
      <c r="F1420">
        <v>34.65</v>
      </c>
      <c r="G1420">
        <v>-99.2667</v>
      </c>
      <c r="H1420">
        <v>-7</v>
      </c>
      <c r="I1420">
        <v>413.9</v>
      </c>
      <c r="J1420" t="str">
        <f>HYPERLINK("https://climate.onebuilding.org/WMO_Region_4_North_and_Central_America/USA_United_States_of_America/OK_Oklahoma/USA_OK_Altus.AFB.723520_US.Normals.2006-2020.zip")</f>
        <v>https://climate.onebuilding.org/WMO_Region_4_North_and_Central_America/USA_United_States_of_America/OK_Oklahoma/USA_OK_Altus.AFB.723520_US.Normals.2006-2020.zip</v>
      </c>
    </row>
    <row r="1421" spans="1:10" x14ac:dyDescent="0.25">
      <c r="A1421" t="s">
        <v>35</v>
      </c>
      <c r="B1421" t="s">
        <v>886</v>
      </c>
      <c r="C1421" t="s">
        <v>888</v>
      </c>
      <c r="D1421" s="2">
        <v>723565</v>
      </c>
      <c r="E1421" t="s">
        <v>13</v>
      </c>
      <c r="F1421">
        <v>36.767000000000003</v>
      </c>
      <c r="G1421">
        <v>-96.016999999999996</v>
      </c>
      <c r="H1421">
        <v>-6</v>
      </c>
      <c r="I1421">
        <v>217.9</v>
      </c>
      <c r="J1421" t="str">
        <f>HYPERLINK("https://climate.onebuilding.org/WMO_Region_4_North_and_Central_America/USA_United_States_of_America/OK_Oklahoma/USA_OK_Bartlesville.Muni.AP-Phillips.Field.723565_US.Normals.2006-2020.zip")</f>
        <v>https://climate.onebuilding.org/WMO_Region_4_North_and_Central_America/USA_United_States_of_America/OK_Oklahoma/USA_OK_Bartlesville.Muni.AP-Phillips.Field.723565_US.Normals.2006-2020.zip</v>
      </c>
    </row>
    <row r="1422" spans="1:10" x14ac:dyDescent="0.25">
      <c r="A1422" t="s">
        <v>35</v>
      </c>
      <c r="B1422" t="s">
        <v>886</v>
      </c>
      <c r="C1422" t="s">
        <v>889</v>
      </c>
      <c r="D1422" s="2">
        <v>723526</v>
      </c>
      <c r="E1422" t="s">
        <v>13</v>
      </c>
      <c r="F1422">
        <v>35.356999999999999</v>
      </c>
      <c r="G1422">
        <v>-99.203999999999994</v>
      </c>
      <c r="H1422">
        <v>-7</v>
      </c>
      <c r="I1422">
        <v>585.79999999999995</v>
      </c>
      <c r="J1422" t="str">
        <f>HYPERLINK("https://climate.onebuilding.org/WMO_Region_4_North_and_Central_America/USA_United_States_of_America/OK_Oklahoma/USA_OK_Clinton-Sherman.Indl.AF.723526_US.Normals.2006-2020.zip")</f>
        <v>https://climate.onebuilding.org/WMO_Region_4_North_and_Central_America/USA_United_States_of_America/OK_Oklahoma/USA_OK_Clinton-Sherman.Indl.AF.723526_US.Normals.2006-2020.zip</v>
      </c>
    </row>
    <row r="1423" spans="1:10" x14ac:dyDescent="0.25">
      <c r="A1423" t="s">
        <v>35</v>
      </c>
      <c r="B1423" t="s">
        <v>886</v>
      </c>
      <c r="C1423" t="s">
        <v>890</v>
      </c>
      <c r="D1423" s="2">
        <v>723535</v>
      </c>
      <c r="E1423" t="s">
        <v>13</v>
      </c>
      <c r="F1423">
        <v>36.333300000000001</v>
      </c>
      <c r="G1423">
        <v>-97.916700000000006</v>
      </c>
      <c r="H1423">
        <v>-7</v>
      </c>
      <c r="I1423">
        <v>398.1</v>
      </c>
      <c r="J1423" t="str">
        <f>HYPERLINK("https://climate.onebuilding.org/WMO_Region_4_North_and_Central_America/USA_United_States_of_America/OK_Oklahoma/USA_OK_Enid-Vance.AFB.723535_US.Normals.2006-2020.zip")</f>
        <v>https://climate.onebuilding.org/WMO_Region_4_North_and_Central_America/USA_United_States_of_America/OK_Oklahoma/USA_OK_Enid-Vance.AFB.723535_US.Normals.2006-2020.zip</v>
      </c>
    </row>
    <row r="1424" spans="1:10" x14ac:dyDescent="0.25">
      <c r="A1424" t="s">
        <v>35</v>
      </c>
      <c r="B1424" t="s">
        <v>886</v>
      </c>
      <c r="C1424" t="s">
        <v>891</v>
      </c>
      <c r="D1424" s="2">
        <v>723528</v>
      </c>
      <c r="E1424" t="s">
        <v>13</v>
      </c>
      <c r="F1424">
        <v>34.362200000000001</v>
      </c>
      <c r="G1424">
        <v>-98.976100000000002</v>
      </c>
      <c r="H1424">
        <v>-7</v>
      </c>
      <c r="I1424">
        <v>386.2</v>
      </c>
      <c r="J1424" t="str">
        <f>HYPERLINK("https://climate.onebuilding.org/WMO_Region_4_North_and_Central_America/USA_United_States_of_America/OK_Oklahoma/USA_OK_Frederick.Rgnl.AP.723528_US.Normals.2006-2020.zip")</f>
        <v>https://climate.onebuilding.org/WMO_Region_4_North_and_Central_America/USA_United_States_of_America/OK_Oklahoma/USA_OK_Frederick.Rgnl.AP.723528_US.Normals.2006-2020.zip</v>
      </c>
    </row>
    <row r="1425" spans="1:10" x14ac:dyDescent="0.25">
      <c r="A1425" t="s">
        <v>35</v>
      </c>
      <c r="B1425" t="s">
        <v>886</v>
      </c>
      <c r="C1425" t="s">
        <v>892</v>
      </c>
      <c r="D1425" s="2">
        <v>746410</v>
      </c>
      <c r="E1425" t="s">
        <v>13</v>
      </c>
      <c r="F1425">
        <v>36.296700000000001</v>
      </c>
      <c r="G1425">
        <v>-99.768900000000002</v>
      </c>
      <c r="H1425">
        <v>-7</v>
      </c>
      <c r="I1425">
        <v>667.8</v>
      </c>
      <c r="J1425" t="str">
        <f>HYPERLINK("https://climate.onebuilding.org/WMO_Region_4_North_and_Central_America/USA_United_States_of_America/OK_Oklahoma/USA_OK_Gage-Shattuck.AP.746410_US.Normals.2006-2020.zip")</f>
        <v>https://climate.onebuilding.org/WMO_Region_4_North_and_Central_America/USA_United_States_of_America/OK_Oklahoma/USA_OK_Gage-Shattuck.AP.746410_US.Normals.2006-2020.zip</v>
      </c>
    </row>
    <row r="1426" spans="1:10" x14ac:dyDescent="0.25">
      <c r="A1426" t="s">
        <v>35</v>
      </c>
      <c r="B1426" t="s">
        <v>886</v>
      </c>
      <c r="C1426" t="s">
        <v>893</v>
      </c>
      <c r="D1426" s="2">
        <v>723580</v>
      </c>
      <c r="E1426" t="s">
        <v>13</v>
      </c>
      <c r="F1426">
        <v>36.599200000000003</v>
      </c>
      <c r="G1426">
        <v>-101.595</v>
      </c>
      <c r="H1426">
        <v>-7</v>
      </c>
      <c r="I1426">
        <v>995.5</v>
      </c>
      <c r="J1426" t="str">
        <f>HYPERLINK("https://climate.onebuilding.org/WMO_Region_4_North_and_Central_America/USA_United_States_of_America/OK_Oklahoma/USA_OK_Goodwell.723580_US.Normals.2006-2020.zip")</f>
        <v>https://climate.onebuilding.org/WMO_Region_4_North_and_Central_America/USA_United_States_of_America/OK_Oklahoma/USA_OK_Goodwell.723580_US.Normals.2006-2020.zip</v>
      </c>
    </row>
    <row r="1427" spans="1:10" x14ac:dyDescent="0.25">
      <c r="A1427" t="s">
        <v>35</v>
      </c>
      <c r="B1427" t="s">
        <v>886</v>
      </c>
      <c r="C1427" t="s">
        <v>894</v>
      </c>
      <c r="D1427" s="2">
        <v>723537</v>
      </c>
      <c r="E1427" t="s">
        <v>13</v>
      </c>
      <c r="F1427">
        <v>35.851700000000001</v>
      </c>
      <c r="G1427">
        <v>-97.414199999999994</v>
      </c>
      <c r="H1427">
        <v>-6</v>
      </c>
      <c r="I1427">
        <v>325.5</v>
      </c>
      <c r="J1427" t="str">
        <f>HYPERLINK("https://climate.onebuilding.org/WMO_Region_4_North_and_Central_America/USA_United_States_of_America/OK_Oklahoma/USA_OK_Guthrie-Edmond.Rgnl.AP.723537_US.Normals.2006-2020.zip")</f>
        <v>https://climate.onebuilding.org/WMO_Region_4_North_and_Central_America/USA_United_States_of_America/OK_Oklahoma/USA_OK_Guthrie-Edmond.Rgnl.AP.723537_US.Normals.2006-2020.zip</v>
      </c>
    </row>
    <row r="1428" spans="1:10" x14ac:dyDescent="0.25">
      <c r="A1428" t="s">
        <v>35</v>
      </c>
      <c r="B1428" t="s">
        <v>886</v>
      </c>
      <c r="C1428" t="s">
        <v>895</v>
      </c>
      <c r="D1428" s="2">
        <v>722095</v>
      </c>
      <c r="E1428" t="s">
        <v>13</v>
      </c>
      <c r="F1428">
        <v>36.681699999999999</v>
      </c>
      <c r="G1428">
        <v>-101.50530000000001</v>
      </c>
      <c r="H1428">
        <v>-7</v>
      </c>
      <c r="I1428">
        <v>951.9</v>
      </c>
      <c r="J1428" t="str">
        <f>HYPERLINK("https://climate.onebuilding.org/WMO_Region_4_North_and_Central_America/USA_United_States_of_America/OK_Oklahoma/USA_OK_Guymon.Muni.AP.722095_US.Normals.2006-2020.zip")</f>
        <v>https://climate.onebuilding.org/WMO_Region_4_North_and_Central_America/USA_United_States_of_America/OK_Oklahoma/USA_OK_Guymon.Muni.AP.722095_US.Normals.2006-2020.zip</v>
      </c>
    </row>
    <row r="1429" spans="1:10" x14ac:dyDescent="0.25">
      <c r="A1429" t="s">
        <v>35</v>
      </c>
      <c r="B1429" t="s">
        <v>886</v>
      </c>
      <c r="C1429" t="s">
        <v>896</v>
      </c>
      <c r="D1429" s="2">
        <v>723525</v>
      </c>
      <c r="E1429" t="s">
        <v>13</v>
      </c>
      <c r="F1429">
        <v>34.989400000000003</v>
      </c>
      <c r="G1429">
        <v>-99.052499999999995</v>
      </c>
      <c r="H1429">
        <v>-7</v>
      </c>
      <c r="I1429">
        <v>474.3</v>
      </c>
      <c r="J1429" t="str">
        <f>HYPERLINK("https://climate.onebuilding.org/WMO_Region_4_North_and_Central_America/USA_United_States_of_America/OK_Oklahoma/USA_OK_Hobart.Rgnl.AP.723525_US.Normals.1991-2020.zip")</f>
        <v>https://climate.onebuilding.org/WMO_Region_4_North_and_Central_America/USA_United_States_of_America/OK_Oklahoma/USA_OK_Hobart.Rgnl.AP.723525_US.Normals.1991-2020.zip</v>
      </c>
    </row>
    <row r="1430" spans="1:10" x14ac:dyDescent="0.25">
      <c r="A1430" t="s">
        <v>35</v>
      </c>
      <c r="B1430" t="s">
        <v>886</v>
      </c>
      <c r="C1430" t="s">
        <v>896</v>
      </c>
      <c r="D1430" s="2">
        <v>723525</v>
      </c>
      <c r="E1430" t="s">
        <v>13</v>
      </c>
      <c r="F1430">
        <v>34.989400000000003</v>
      </c>
      <c r="G1430">
        <v>-99.052499999999995</v>
      </c>
      <c r="H1430">
        <v>-7</v>
      </c>
      <c r="I1430">
        <v>474.3</v>
      </c>
      <c r="J1430" t="str">
        <f>HYPERLINK("https://climate.onebuilding.org/WMO_Region_4_North_and_Central_America/USA_United_States_of_America/OK_Oklahoma/USA_OK_Hobart.Rgnl.AP.723525_US.Normals.2006-2020.zip")</f>
        <v>https://climate.onebuilding.org/WMO_Region_4_North_and_Central_America/USA_United_States_of_America/OK_Oklahoma/USA_OK_Hobart.Rgnl.AP.723525_US.Normals.2006-2020.zip</v>
      </c>
    </row>
    <row r="1431" spans="1:10" x14ac:dyDescent="0.25">
      <c r="A1431" t="s">
        <v>35</v>
      </c>
      <c r="B1431" t="s">
        <v>886</v>
      </c>
      <c r="C1431" t="s">
        <v>897</v>
      </c>
      <c r="D1431" s="2">
        <v>723550</v>
      </c>
      <c r="E1431" t="s">
        <v>13</v>
      </c>
      <c r="F1431">
        <v>34.65</v>
      </c>
      <c r="G1431">
        <v>-98.4</v>
      </c>
      <c r="H1431">
        <v>-7</v>
      </c>
      <c r="I1431">
        <v>369.1</v>
      </c>
      <c r="J1431" t="str">
        <f>HYPERLINK("https://climate.onebuilding.org/WMO_Region_4_North_and_Central_America/USA_United_States_of_America/OK_Oklahoma/USA_OK_Lawton-Ft.Sill-Post.AAF.723550_US.Normals.2006-2020.zip")</f>
        <v>https://climate.onebuilding.org/WMO_Region_4_North_and_Central_America/USA_United_States_of_America/OK_Oklahoma/USA_OK_Lawton-Ft.Sill-Post.AAF.723550_US.Normals.2006-2020.zip</v>
      </c>
    </row>
    <row r="1432" spans="1:10" x14ac:dyDescent="0.25">
      <c r="A1432" t="s">
        <v>35</v>
      </c>
      <c r="B1432" t="s">
        <v>886</v>
      </c>
      <c r="C1432" t="s">
        <v>898</v>
      </c>
      <c r="D1432" s="2">
        <v>723575</v>
      </c>
      <c r="E1432" t="s">
        <v>13</v>
      </c>
      <c r="F1432">
        <v>34.558300000000003</v>
      </c>
      <c r="G1432">
        <v>-98.417199999999994</v>
      </c>
      <c r="H1432">
        <v>-7</v>
      </c>
      <c r="I1432">
        <v>325.8</v>
      </c>
      <c r="J1432" t="str">
        <f>HYPERLINK("https://climate.onebuilding.org/WMO_Region_4_North_and_Central_America/USA_United_States_of_America/OK_Oklahoma/USA_OK_Lawton-Ft.Sill.Rgnl.AP.723575_US.Normals.2006-2020.zip")</f>
        <v>https://climate.onebuilding.org/WMO_Region_4_North_and_Central_America/USA_United_States_of_America/OK_Oklahoma/USA_OK_Lawton-Ft.Sill.Rgnl.AP.723575_US.Normals.2006-2020.zip</v>
      </c>
    </row>
    <row r="1433" spans="1:10" x14ac:dyDescent="0.25">
      <c r="A1433" t="s">
        <v>35</v>
      </c>
      <c r="B1433" t="s">
        <v>886</v>
      </c>
      <c r="C1433" t="s">
        <v>899</v>
      </c>
      <c r="D1433" s="2">
        <v>723566</v>
      </c>
      <c r="E1433" t="s">
        <v>13</v>
      </c>
      <c r="F1433">
        <v>34.882199999999997</v>
      </c>
      <c r="G1433">
        <v>-95.783100000000005</v>
      </c>
      <c r="H1433">
        <v>-6</v>
      </c>
      <c r="I1433">
        <v>234.7</v>
      </c>
      <c r="J1433" t="str">
        <f>HYPERLINK("https://climate.onebuilding.org/WMO_Region_4_North_and_Central_America/USA_United_States_of_America/OK_Oklahoma/USA_OK_McAlester.Rgnl.AP.723566_US.Normals.1981-2010.zip")</f>
        <v>https://climate.onebuilding.org/WMO_Region_4_North_and_Central_America/USA_United_States_of_America/OK_Oklahoma/USA_OK_McAlester.Rgnl.AP.723566_US.Normals.1981-2010.zip</v>
      </c>
    </row>
    <row r="1434" spans="1:10" x14ac:dyDescent="0.25">
      <c r="A1434" t="s">
        <v>35</v>
      </c>
      <c r="B1434" t="s">
        <v>886</v>
      </c>
      <c r="C1434" t="s">
        <v>899</v>
      </c>
      <c r="D1434" s="2">
        <v>723566</v>
      </c>
      <c r="E1434" t="s">
        <v>13</v>
      </c>
      <c r="F1434">
        <v>34.882199999999997</v>
      </c>
      <c r="G1434">
        <v>-95.783100000000005</v>
      </c>
      <c r="H1434">
        <v>-6</v>
      </c>
      <c r="I1434">
        <v>234.7</v>
      </c>
      <c r="J1434" t="str">
        <f>HYPERLINK("https://climate.onebuilding.org/WMO_Region_4_North_and_Central_America/USA_United_States_of_America/OK_Oklahoma/USA_OK_McAlester.Rgnl.AP.723566_US.Normals.1991-2020.zip")</f>
        <v>https://climate.onebuilding.org/WMO_Region_4_North_and_Central_America/USA_United_States_of_America/OK_Oklahoma/USA_OK_McAlester.Rgnl.AP.723566_US.Normals.1991-2020.zip</v>
      </c>
    </row>
    <row r="1435" spans="1:10" x14ac:dyDescent="0.25">
      <c r="A1435" t="s">
        <v>35</v>
      </c>
      <c r="B1435" t="s">
        <v>886</v>
      </c>
      <c r="C1435" t="s">
        <v>899</v>
      </c>
      <c r="D1435" s="2">
        <v>723566</v>
      </c>
      <c r="E1435" t="s">
        <v>13</v>
      </c>
      <c r="F1435">
        <v>34.882199999999997</v>
      </c>
      <c r="G1435">
        <v>-95.783100000000005</v>
      </c>
      <c r="H1435">
        <v>-6</v>
      </c>
      <c r="I1435">
        <v>234.7</v>
      </c>
      <c r="J1435" t="str">
        <f>HYPERLINK("https://climate.onebuilding.org/WMO_Region_4_North_and_Central_America/USA_United_States_of_America/OK_Oklahoma/USA_OK_McAlester.Rgnl.AP.723566_US.Normals.2006-2020.zip")</f>
        <v>https://climate.onebuilding.org/WMO_Region_4_North_and_Central_America/USA_United_States_of_America/OK_Oklahoma/USA_OK_McAlester.Rgnl.AP.723566_US.Normals.2006-2020.zip</v>
      </c>
    </row>
    <row r="1436" spans="1:10" x14ac:dyDescent="0.25">
      <c r="A1436" t="s">
        <v>35</v>
      </c>
      <c r="B1436" t="s">
        <v>886</v>
      </c>
      <c r="C1436" t="s">
        <v>900</v>
      </c>
      <c r="D1436" s="2">
        <v>723556</v>
      </c>
      <c r="E1436" t="s">
        <v>13</v>
      </c>
      <c r="F1436">
        <v>35.656700000000001</v>
      </c>
      <c r="G1436">
        <v>-95.361400000000003</v>
      </c>
      <c r="H1436">
        <v>-6</v>
      </c>
      <c r="I1436">
        <v>185.9</v>
      </c>
      <c r="J1436" t="str">
        <f>HYPERLINK("https://climate.onebuilding.org/WMO_Region_4_North_and_Central_America/USA_United_States_of_America/OK_Oklahoma/USA_OK_Muskogee-Davis.Rgnl.AP.723556_US.Normals.2006-2020.zip")</f>
        <v>https://climate.onebuilding.org/WMO_Region_4_North_and_Central_America/USA_United_States_of_America/OK_Oklahoma/USA_OK_Muskogee-Davis.Rgnl.AP.723556_US.Normals.2006-2020.zip</v>
      </c>
    </row>
    <row r="1437" spans="1:10" x14ac:dyDescent="0.25">
      <c r="A1437" t="s">
        <v>35</v>
      </c>
      <c r="B1437" t="s">
        <v>886</v>
      </c>
      <c r="C1437" t="s">
        <v>901</v>
      </c>
      <c r="D1437" s="2">
        <v>723544</v>
      </c>
      <c r="E1437" t="s">
        <v>13</v>
      </c>
      <c r="F1437">
        <v>35.534199999999998</v>
      </c>
      <c r="G1437">
        <v>-97.646900000000002</v>
      </c>
      <c r="H1437">
        <v>-7</v>
      </c>
      <c r="I1437">
        <v>395.3</v>
      </c>
      <c r="J1437" t="str">
        <f>HYPERLINK("https://climate.onebuilding.org/WMO_Region_4_North_and_Central_America/USA_United_States_of_America/OK_Oklahoma/USA_OK_Oklahoma.City-Post.AP.723544_US.Normals.1991-2020.zip")</f>
        <v>https://climate.onebuilding.org/WMO_Region_4_North_and_Central_America/USA_United_States_of_America/OK_Oklahoma/USA_OK_Oklahoma.City-Post.AP.723544_US.Normals.1991-2020.zip</v>
      </c>
    </row>
    <row r="1438" spans="1:10" x14ac:dyDescent="0.25">
      <c r="A1438" t="s">
        <v>35</v>
      </c>
      <c r="B1438" t="s">
        <v>886</v>
      </c>
      <c r="C1438" t="s">
        <v>901</v>
      </c>
      <c r="D1438" s="2">
        <v>723544</v>
      </c>
      <c r="E1438" t="s">
        <v>13</v>
      </c>
      <c r="F1438">
        <v>35.534199999999998</v>
      </c>
      <c r="G1438">
        <v>-97.646900000000002</v>
      </c>
      <c r="H1438">
        <v>-7</v>
      </c>
      <c r="I1438">
        <v>395.3</v>
      </c>
      <c r="J1438" t="str">
        <f>HYPERLINK("https://climate.onebuilding.org/WMO_Region_4_North_and_Central_America/USA_United_States_of_America/OK_Oklahoma/USA_OK_Oklahoma.City-Post.AP.723544_US.Normals.2006-2020.zip")</f>
        <v>https://climate.onebuilding.org/WMO_Region_4_North_and_Central_America/USA_United_States_of_America/OK_Oklahoma/USA_OK_Oklahoma.City-Post.AP.723544_US.Normals.2006-2020.zip</v>
      </c>
    </row>
    <row r="1439" spans="1:10" x14ac:dyDescent="0.25">
      <c r="A1439" t="s">
        <v>35</v>
      </c>
      <c r="B1439" t="s">
        <v>886</v>
      </c>
      <c r="C1439" t="s">
        <v>902</v>
      </c>
      <c r="D1439" s="2">
        <v>723530</v>
      </c>
      <c r="E1439" t="s">
        <v>13</v>
      </c>
      <c r="F1439">
        <v>35.3889</v>
      </c>
      <c r="G1439">
        <v>-97.6006</v>
      </c>
      <c r="H1439">
        <v>-7</v>
      </c>
      <c r="I1439">
        <v>391.7</v>
      </c>
      <c r="J1439" t="str">
        <f>HYPERLINK("https://climate.onebuilding.org/WMO_Region_4_North_and_Central_America/USA_United_States_of_America/OK_Oklahoma/USA_OK_Oklahoma.City-Rogers.World.AP.723530_US.Normals.1981-2010.zip")</f>
        <v>https://climate.onebuilding.org/WMO_Region_4_North_and_Central_America/USA_United_States_of_America/OK_Oklahoma/USA_OK_Oklahoma.City-Rogers.World.AP.723530_US.Normals.1981-2010.zip</v>
      </c>
    </row>
    <row r="1440" spans="1:10" x14ac:dyDescent="0.25">
      <c r="A1440" t="s">
        <v>35</v>
      </c>
      <c r="B1440" t="s">
        <v>886</v>
      </c>
      <c r="C1440" t="s">
        <v>902</v>
      </c>
      <c r="D1440" s="2">
        <v>723530</v>
      </c>
      <c r="E1440" t="s">
        <v>13</v>
      </c>
      <c r="F1440">
        <v>35.3889</v>
      </c>
      <c r="G1440">
        <v>-97.6006</v>
      </c>
      <c r="H1440">
        <v>-7</v>
      </c>
      <c r="I1440">
        <v>391.7</v>
      </c>
      <c r="J1440" t="str">
        <f>HYPERLINK("https://climate.onebuilding.org/WMO_Region_4_North_and_Central_America/USA_United_States_of_America/OK_Oklahoma/USA_OK_Oklahoma.City-Rogers.World.AP.723530_US.Normals.1991-2020.zip")</f>
        <v>https://climate.onebuilding.org/WMO_Region_4_North_and_Central_America/USA_United_States_of_America/OK_Oklahoma/USA_OK_Oklahoma.City-Rogers.World.AP.723530_US.Normals.1991-2020.zip</v>
      </c>
    </row>
    <row r="1441" spans="1:10" x14ac:dyDescent="0.25">
      <c r="A1441" t="s">
        <v>35</v>
      </c>
      <c r="B1441" t="s">
        <v>886</v>
      </c>
      <c r="C1441" t="s">
        <v>902</v>
      </c>
      <c r="D1441" s="2">
        <v>723530</v>
      </c>
      <c r="E1441" t="s">
        <v>13</v>
      </c>
      <c r="F1441">
        <v>35.3889</v>
      </c>
      <c r="G1441">
        <v>-97.6006</v>
      </c>
      <c r="H1441">
        <v>-7</v>
      </c>
      <c r="I1441">
        <v>391.7</v>
      </c>
      <c r="J1441" t="str">
        <f>HYPERLINK("https://climate.onebuilding.org/WMO_Region_4_North_and_Central_America/USA_United_States_of_America/OK_Oklahoma/USA_OK_Oklahoma.City-Rogers.World.AP.723530_US.Normals.2006-2020.zip")</f>
        <v>https://climate.onebuilding.org/WMO_Region_4_North_and_Central_America/USA_United_States_of_America/OK_Oklahoma/USA_OK_Oklahoma.City-Rogers.World.AP.723530_US.Normals.2006-2020.zip</v>
      </c>
    </row>
    <row r="1442" spans="1:10" x14ac:dyDescent="0.25">
      <c r="A1442" t="s">
        <v>35</v>
      </c>
      <c r="B1442" t="s">
        <v>886</v>
      </c>
      <c r="C1442" t="s">
        <v>903</v>
      </c>
      <c r="D1442" s="2">
        <v>723540</v>
      </c>
      <c r="E1442" t="s">
        <v>13</v>
      </c>
      <c r="F1442">
        <v>35.416699999999999</v>
      </c>
      <c r="G1442">
        <v>-97.383300000000006</v>
      </c>
      <c r="H1442">
        <v>-6</v>
      </c>
      <c r="I1442">
        <v>384</v>
      </c>
      <c r="J1442" t="str">
        <f>HYPERLINK("https://climate.onebuilding.org/WMO_Region_4_North_and_Central_America/USA_United_States_of_America/OK_Oklahoma/USA_OK_Oklahoma.City-Tinker.AFB.723540_US.Normals.1981-2010.zip")</f>
        <v>https://climate.onebuilding.org/WMO_Region_4_North_and_Central_America/USA_United_States_of_America/OK_Oklahoma/USA_OK_Oklahoma.City-Tinker.AFB.723540_US.Normals.1981-2010.zip</v>
      </c>
    </row>
    <row r="1443" spans="1:10" x14ac:dyDescent="0.25">
      <c r="A1443" t="s">
        <v>35</v>
      </c>
      <c r="B1443" t="s">
        <v>886</v>
      </c>
      <c r="C1443" t="s">
        <v>903</v>
      </c>
      <c r="D1443" s="2">
        <v>723540</v>
      </c>
      <c r="E1443" t="s">
        <v>13</v>
      </c>
      <c r="F1443">
        <v>35.416699999999999</v>
      </c>
      <c r="G1443">
        <v>-97.383300000000006</v>
      </c>
      <c r="H1443">
        <v>-6</v>
      </c>
      <c r="I1443">
        <v>384</v>
      </c>
      <c r="J1443" t="str">
        <f>HYPERLINK("https://climate.onebuilding.org/WMO_Region_4_North_and_Central_America/USA_United_States_of_America/OK_Oklahoma/USA_OK_Oklahoma.City-Tinker.AFB.723540_US.Normals.1991-2020.zip")</f>
        <v>https://climate.onebuilding.org/WMO_Region_4_North_and_Central_America/USA_United_States_of_America/OK_Oklahoma/USA_OK_Oklahoma.City-Tinker.AFB.723540_US.Normals.1991-2020.zip</v>
      </c>
    </row>
    <row r="1444" spans="1:10" x14ac:dyDescent="0.25">
      <c r="A1444" t="s">
        <v>35</v>
      </c>
      <c r="B1444" t="s">
        <v>886</v>
      </c>
      <c r="C1444" t="s">
        <v>903</v>
      </c>
      <c r="D1444" s="2">
        <v>723540</v>
      </c>
      <c r="E1444" t="s">
        <v>13</v>
      </c>
      <c r="F1444">
        <v>35.416699999999999</v>
      </c>
      <c r="G1444">
        <v>-97.383300000000006</v>
      </c>
      <c r="H1444">
        <v>-6</v>
      </c>
      <c r="I1444">
        <v>384</v>
      </c>
      <c r="J1444" t="str">
        <f>HYPERLINK("https://climate.onebuilding.org/WMO_Region_4_North_and_Central_America/USA_United_States_of_America/OK_Oklahoma/USA_OK_Oklahoma.City-Tinker.AFB.723540_US.Normals.2006-2020.zip")</f>
        <v>https://climate.onebuilding.org/WMO_Region_4_North_and_Central_America/USA_United_States_of_America/OK_Oklahoma/USA_OK_Oklahoma.City-Tinker.AFB.723540_US.Normals.2006-2020.zip</v>
      </c>
    </row>
    <row r="1445" spans="1:10" x14ac:dyDescent="0.25">
      <c r="A1445" t="s">
        <v>35</v>
      </c>
      <c r="B1445" t="s">
        <v>886</v>
      </c>
      <c r="C1445" t="s">
        <v>904</v>
      </c>
      <c r="D1445" s="2">
        <v>746420</v>
      </c>
      <c r="E1445" t="s">
        <v>13</v>
      </c>
      <c r="F1445">
        <v>36.118099999999998</v>
      </c>
      <c r="G1445">
        <v>-97.091399999999993</v>
      </c>
      <c r="H1445">
        <v>-6</v>
      </c>
      <c r="I1445">
        <v>271.3</v>
      </c>
      <c r="J1445" t="str">
        <f>HYPERLINK("https://climate.onebuilding.org/WMO_Region_4_North_and_Central_America/USA_United_States_of_America/OK_Oklahoma/USA_OK_Oklahoma.State.Univ.Site.A.746420_US.Normals.2006-2020.zip")</f>
        <v>https://climate.onebuilding.org/WMO_Region_4_North_and_Central_America/USA_United_States_of_America/OK_Oklahoma/USA_OK_Oklahoma.State.Univ.Site.A.746420_US.Normals.2006-2020.zip</v>
      </c>
    </row>
    <row r="1446" spans="1:10" x14ac:dyDescent="0.25">
      <c r="A1446" t="s">
        <v>35</v>
      </c>
      <c r="B1446" t="s">
        <v>886</v>
      </c>
      <c r="C1446" t="s">
        <v>905</v>
      </c>
      <c r="D1446" s="2">
        <v>746430</v>
      </c>
      <c r="E1446" t="s">
        <v>13</v>
      </c>
      <c r="F1446">
        <v>36.134700000000002</v>
      </c>
      <c r="G1446">
        <v>-97.1083</v>
      </c>
      <c r="H1446">
        <v>-6</v>
      </c>
      <c r="I1446">
        <v>270.7</v>
      </c>
      <c r="J1446" t="str">
        <f>HYPERLINK("https://climate.onebuilding.org/WMO_Region_4_North_and_Central_America/USA_United_States_of_America/OK_Oklahoma/USA_OK_Oklahoma.State.Univ.Site.B.746430_US.Normals.2006-2020.zip")</f>
        <v>https://climate.onebuilding.org/WMO_Region_4_North_and_Central_America/USA_United_States_of_America/OK_Oklahoma/USA_OK_Oklahoma.State.Univ.Site.B.746430_US.Normals.2006-2020.zip</v>
      </c>
    </row>
    <row r="1447" spans="1:10" x14ac:dyDescent="0.25">
      <c r="A1447" t="s">
        <v>35</v>
      </c>
      <c r="B1447" t="s">
        <v>886</v>
      </c>
      <c r="C1447" t="s">
        <v>906</v>
      </c>
      <c r="D1447" s="2">
        <v>724530</v>
      </c>
      <c r="E1447" t="s">
        <v>13</v>
      </c>
      <c r="F1447">
        <v>36.736699999999999</v>
      </c>
      <c r="G1447">
        <v>-97.101900000000001</v>
      </c>
      <c r="H1447">
        <v>-6</v>
      </c>
      <c r="I1447">
        <v>304.8</v>
      </c>
      <c r="J1447" t="str">
        <f>HYPERLINK("https://climate.onebuilding.org/WMO_Region_4_North_and_Central_America/USA_United_States_of_America/OK_Oklahoma/USA_OK_Ponca.City.Rgnl.AP.724530_US.Normals.2006-2020.zip")</f>
        <v>https://climate.onebuilding.org/WMO_Region_4_North_and_Central_America/USA_United_States_of_America/OK_Oklahoma/USA_OK_Ponca.City.Rgnl.AP.724530_US.Normals.2006-2020.zip</v>
      </c>
    </row>
    <row r="1448" spans="1:10" x14ac:dyDescent="0.25">
      <c r="A1448" t="s">
        <v>35</v>
      </c>
      <c r="B1448" t="s">
        <v>886</v>
      </c>
      <c r="C1448" t="s">
        <v>907</v>
      </c>
      <c r="D1448" s="2">
        <v>723545</v>
      </c>
      <c r="E1448" t="s">
        <v>13</v>
      </c>
      <c r="F1448">
        <v>36.162500000000001</v>
      </c>
      <c r="G1448">
        <v>-97.089399999999998</v>
      </c>
      <c r="H1448">
        <v>-6</v>
      </c>
      <c r="I1448">
        <v>299.89999999999998</v>
      </c>
      <c r="J1448" t="str">
        <f>HYPERLINK("https://climate.onebuilding.org/WMO_Region_4_North_and_Central_America/USA_United_States_of_America/OK_Oklahoma/USA_OK_Stillwater.Rgnl.AP-Searcy.Field.723545_US.Normals.2006-2020.zip")</f>
        <v>https://climate.onebuilding.org/WMO_Region_4_North_and_Central_America/USA_United_States_of_America/OK_Oklahoma/USA_OK_Stillwater.Rgnl.AP-Searcy.Field.723545_US.Normals.2006-2020.zip</v>
      </c>
    </row>
    <row r="1449" spans="1:10" x14ac:dyDescent="0.25">
      <c r="A1449" t="s">
        <v>35</v>
      </c>
      <c r="B1449" t="s">
        <v>886</v>
      </c>
      <c r="C1449" t="s">
        <v>908</v>
      </c>
      <c r="D1449" s="2">
        <v>723564</v>
      </c>
      <c r="E1449" t="s">
        <v>13</v>
      </c>
      <c r="F1449">
        <v>36.039400000000001</v>
      </c>
      <c r="G1449">
        <v>-95.984399999999994</v>
      </c>
      <c r="H1449">
        <v>-6</v>
      </c>
      <c r="I1449">
        <v>194.5</v>
      </c>
      <c r="J1449" t="str">
        <f>HYPERLINK("https://climate.onebuilding.org/WMO_Region_4_North_and_Central_America/USA_United_States_of_America/OK_Oklahoma/USA_OK_Tulsa-Jones.AP.723564_US.Normals.2006-2020.zip")</f>
        <v>https://climate.onebuilding.org/WMO_Region_4_North_and_Central_America/USA_United_States_of_America/OK_Oklahoma/USA_OK_Tulsa-Jones.AP.723564_US.Normals.2006-2020.zip</v>
      </c>
    </row>
    <row r="1450" spans="1:10" x14ac:dyDescent="0.25">
      <c r="A1450" t="s">
        <v>35</v>
      </c>
      <c r="B1450" t="s">
        <v>886</v>
      </c>
      <c r="C1450" t="s">
        <v>909</v>
      </c>
      <c r="D1450" s="2">
        <v>723560</v>
      </c>
      <c r="E1450" t="s">
        <v>13</v>
      </c>
      <c r="F1450">
        <v>36.199399999999997</v>
      </c>
      <c r="G1450">
        <v>-95.887200000000007</v>
      </c>
      <c r="H1450">
        <v>-6</v>
      </c>
      <c r="I1450">
        <v>198.1</v>
      </c>
      <c r="J1450" t="str">
        <f>HYPERLINK("https://climate.onebuilding.org/WMO_Region_4_North_and_Central_America/USA_United_States_of_America/OK_Oklahoma/USA_OK_Tulsa.Intl.AP.723560_US.Normals.1981-2010.zip")</f>
        <v>https://climate.onebuilding.org/WMO_Region_4_North_and_Central_America/USA_United_States_of_America/OK_Oklahoma/USA_OK_Tulsa.Intl.AP.723560_US.Normals.1981-2010.zip</v>
      </c>
    </row>
    <row r="1451" spans="1:10" x14ac:dyDescent="0.25">
      <c r="A1451" t="s">
        <v>35</v>
      </c>
      <c r="B1451" t="s">
        <v>886</v>
      </c>
      <c r="C1451" t="s">
        <v>909</v>
      </c>
      <c r="D1451" s="2">
        <v>723560</v>
      </c>
      <c r="E1451" t="s">
        <v>13</v>
      </c>
      <c r="F1451">
        <v>36.199399999999997</v>
      </c>
      <c r="G1451">
        <v>-95.887200000000007</v>
      </c>
      <c r="H1451">
        <v>-6</v>
      </c>
      <c r="I1451">
        <v>198.1</v>
      </c>
      <c r="J1451" t="str">
        <f>HYPERLINK("https://climate.onebuilding.org/WMO_Region_4_North_and_Central_America/USA_United_States_of_America/OK_Oklahoma/USA_OK_Tulsa.Intl.AP.723560_US.Normals.1991-2020.zip")</f>
        <v>https://climate.onebuilding.org/WMO_Region_4_North_and_Central_America/USA_United_States_of_America/OK_Oklahoma/USA_OK_Tulsa.Intl.AP.723560_US.Normals.1991-2020.zip</v>
      </c>
    </row>
    <row r="1452" spans="1:10" x14ac:dyDescent="0.25">
      <c r="A1452" t="s">
        <v>35</v>
      </c>
      <c r="B1452" t="s">
        <v>886</v>
      </c>
      <c r="C1452" t="s">
        <v>909</v>
      </c>
      <c r="D1452" s="2">
        <v>723560</v>
      </c>
      <c r="E1452" t="s">
        <v>13</v>
      </c>
      <c r="F1452">
        <v>36.199399999999997</v>
      </c>
      <c r="G1452">
        <v>-95.887200000000007</v>
      </c>
      <c r="H1452">
        <v>-6</v>
      </c>
      <c r="I1452">
        <v>198.1</v>
      </c>
      <c r="J1452" t="str">
        <f>HYPERLINK("https://climate.onebuilding.org/WMO_Region_4_North_and_Central_America/USA_United_States_of_America/OK_Oklahoma/USA_OK_Tulsa.Intl.AP.723560_US.Normals.2006-2020.zip")</f>
        <v>https://climate.onebuilding.org/WMO_Region_4_North_and_Central_America/USA_United_States_of_America/OK_Oklahoma/USA_OK_Tulsa.Intl.AP.723560_US.Normals.2006-2020.zip</v>
      </c>
    </row>
    <row r="1453" spans="1:10" x14ac:dyDescent="0.25">
      <c r="A1453" t="s">
        <v>35</v>
      </c>
      <c r="B1453" t="s">
        <v>910</v>
      </c>
      <c r="C1453" t="s">
        <v>911</v>
      </c>
      <c r="D1453" s="2">
        <v>727910</v>
      </c>
      <c r="E1453" t="s">
        <v>13</v>
      </c>
      <c r="F1453">
        <v>46.1569</v>
      </c>
      <c r="G1453">
        <v>-123.88249999999999</v>
      </c>
      <c r="H1453">
        <v>-8</v>
      </c>
      <c r="I1453">
        <v>2.7</v>
      </c>
      <c r="J1453" t="str">
        <f>HYPERLINK("https://climate.onebuilding.org/WMO_Region_4_North_and_Central_America/USA_United_States_of_America/OR_Oregon/USA_OR_Astoria.Rgnl.AP.727910_US.Normals.1981-2010.zip")</f>
        <v>https://climate.onebuilding.org/WMO_Region_4_North_and_Central_America/USA_United_States_of_America/OR_Oregon/USA_OR_Astoria.Rgnl.AP.727910_US.Normals.1981-2010.zip</v>
      </c>
    </row>
    <row r="1454" spans="1:10" x14ac:dyDescent="0.25">
      <c r="A1454" t="s">
        <v>35</v>
      </c>
      <c r="B1454" t="s">
        <v>910</v>
      </c>
      <c r="C1454" t="s">
        <v>911</v>
      </c>
      <c r="D1454" s="2">
        <v>727910</v>
      </c>
      <c r="E1454" t="s">
        <v>13</v>
      </c>
      <c r="F1454">
        <v>46.1569</v>
      </c>
      <c r="G1454">
        <v>-123.88249999999999</v>
      </c>
      <c r="H1454">
        <v>-8</v>
      </c>
      <c r="I1454">
        <v>2.7</v>
      </c>
      <c r="J1454" t="str">
        <f>HYPERLINK("https://climate.onebuilding.org/WMO_Region_4_North_and_Central_America/USA_United_States_of_America/OR_Oregon/USA_OR_Astoria.Rgnl.AP.727910_US.Normals.1991-2020.zip")</f>
        <v>https://climate.onebuilding.org/WMO_Region_4_North_and_Central_America/USA_United_States_of_America/OR_Oregon/USA_OR_Astoria.Rgnl.AP.727910_US.Normals.1991-2020.zip</v>
      </c>
    </row>
    <row r="1455" spans="1:10" x14ac:dyDescent="0.25">
      <c r="A1455" t="s">
        <v>35</v>
      </c>
      <c r="B1455" t="s">
        <v>910</v>
      </c>
      <c r="C1455" t="s">
        <v>911</v>
      </c>
      <c r="D1455" s="2">
        <v>727910</v>
      </c>
      <c r="E1455" t="s">
        <v>13</v>
      </c>
      <c r="F1455">
        <v>46.1569</v>
      </c>
      <c r="G1455">
        <v>-123.88249999999999</v>
      </c>
      <c r="H1455">
        <v>-8</v>
      </c>
      <c r="I1455">
        <v>2.7</v>
      </c>
      <c r="J1455" t="str">
        <f>HYPERLINK("https://climate.onebuilding.org/WMO_Region_4_North_and_Central_America/USA_United_States_of_America/OR_Oregon/USA_OR_Astoria.Rgnl.AP.727910_US.Normals.2006-2020.zip")</f>
        <v>https://climate.onebuilding.org/WMO_Region_4_North_and_Central_America/USA_United_States_of_America/OR_Oregon/USA_OR_Astoria.Rgnl.AP.727910_US.Normals.2006-2020.zip</v>
      </c>
    </row>
    <row r="1456" spans="1:10" x14ac:dyDescent="0.25">
      <c r="A1456" t="s">
        <v>35</v>
      </c>
      <c r="B1456" t="s">
        <v>910</v>
      </c>
      <c r="C1456" t="s">
        <v>912</v>
      </c>
      <c r="D1456" s="2">
        <v>726959</v>
      </c>
      <c r="E1456" t="s">
        <v>13</v>
      </c>
      <c r="F1456">
        <v>45.248600000000003</v>
      </c>
      <c r="G1456">
        <v>-122.76860000000001</v>
      </c>
      <c r="H1456">
        <v>-8</v>
      </c>
      <c r="I1456">
        <v>59.7</v>
      </c>
      <c r="J1456" t="str">
        <f>HYPERLINK("https://climate.onebuilding.org/WMO_Region_4_North_and_Central_America/USA_United_States_of_America/OR_Oregon/USA_OR_Aurora.State.AP-Lematta.Field.726959_US.Normals.2006-2020.zip")</f>
        <v>https://climate.onebuilding.org/WMO_Region_4_North_and_Central_America/USA_United_States_of_America/OR_Oregon/USA_OR_Aurora.State.AP-Lematta.Field.726959_US.Normals.2006-2020.zip</v>
      </c>
    </row>
    <row r="1457" spans="1:10" x14ac:dyDescent="0.25">
      <c r="A1457" t="s">
        <v>35</v>
      </c>
      <c r="B1457" t="s">
        <v>910</v>
      </c>
      <c r="C1457" t="s">
        <v>913</v>
      </c>
      <c r="D1457" s="2">
        <v>726886</v>
      </c>
      <c r="E1457" t="s">
        <v>13</v>
      </c>
      <c r="F1457">
        <v>44.842799999999997</v>
      </c>
      <c r="G1457">
        <v>-117.8086</v>
      </c>
      <c r="H1457">
        <v>-8</v>
      </c>
      <c r="I1457">
        <v>1024.4000000000001</v>
      </c>
      <c r="J1457" t="str">
        <f>HYPERLINK("https://climate.onebuilding.org/WMO_Region_4_North_and_Central_America/USA_United_States_of_America/OR_Oregon/USA_OR_Baker.City.Muni.AP.726886_US.Normals.1991-2020.zip")</f>
        <v>https://climate.onebuilding.org/WMO_Region_4_North_and_Central_America/USA_United_States_of_America/OR_Oregon/USA_OR_Baker.City.Muni.AP.726886_US.Normals.1991-2020.zip</v>
      </c>
    </row>
    <row r="1458" spans="1:10" x14ac:dyDescent="0.25">
      <c r="A1458" t="s">
        <v>35</v>
      </c>
      <c r="B1458" t="s">
        <v>910</v>
      </c>
      <c r="C1458" t="s">
        <v>913</v>
      </c>
      <c r="D1458" s="2">
        <v>726886</v>
      </c>
      <c r="E1458" t="s">
        <v>13</v>
      </c>
      <c r="F1458">
        <v>44.842799999999997</v>
      </c>
      <c r="G1458">
        <v>-117.8086</v>
      </c>
      <c r="H1458">
        <v>-8</v>
      </c>
      <c r="I1458">
        <v>1024.4000000000001</v>
      </c>
      <c r="J1458" t="str">
        <f>HYPERLINK("https://climate.onebuilding.org/WMO_Region_4_North_and_Central_America/USA_United_States_of_America/OR_Oregon/USA_OR_Baker.City.Muni.AP.726886_US.Normals.2006-2020.zip")</f>
        <v>https://climate.onebuilding.org/WMO_Region_4_North_and_Central_America/USA_United_States_of_America/OR_Oregon/USA_OR_Baker.City.Muni.AP.726886_US.Normals.2006-2020.zip</v>
      </c>
    </row>
    <row r="1459" spans="1:10" x14ac:dyDescent="0.25">
      <c r="A1459" t="s">
        <v>35</v>
      </c>
      <c r="B1459" t="s">
        <v>910</v>
      </c>
      <c r="C1459" t="s">
        <v>914</v>
      </c>
      <c r="D1459" s="2">
        <v>726830</v>
      </c>
      <c r="E1459" t="s">
        <v>13</v>
      </c>
      <c r="F1459">
        <v>43.594999999999999</v>
      </c>
      <c r="G1459">
        <v>-118.9564</v>
      </c>
      <c r="H1459">
        <v>-8</v>
      </c>
      <c r="I1459">
        <v>1261.9000000000001</v>
      </c>
      <c r="J1459" t="str">
        <f>HYPERLINK("https://climate.onebuilding.org/WMO_Region_4_North_and_Central_America/USA_United_States_of_America/OR_Oregon/USA_OR_Burns.Muni.AP.726830_US.Normals.1981-2010.zip")</f>
        <v>https://climate.onebuilding.org/WMO_Region_4_North_and_Central_America/USA_United_States_of_America/OR_Oregon/USA_OR_Burns.Muni.AP.726830_US.Normals.1981-2010.zip</v>
      </c>
    </row>
    <row r="1460" spans="1:10" x14ac:dyDescent="0.25">
      <c r="A1460" t="s">
        <v>35</v>
      </c>
      <c r="B1460" t="s">
        <v>910</v>
      </c>
      <c r="C1460" t="s">
        <v>914</v>
      </c>
      <c r="D1460" s="2">
        <v>726830</v>
      </c>
      <c r="E1460" t="s">
        <v>13</v>
      </c>
      <c r="F1460">
        <v>43.594999999999999</v>
      </c>
      <c r="G1460">
        <v>-118.9564</v>
      </c>
      <c r="H1460">
        <v>-8</v>
      </c>
      <c r="I1460">
        <v>1261.9000000000001</v>
      </c>
      <c r="J1460" t="str">
        <f>HYPERLINK("https://climate.onebuilding.org/WMO_Region_4_North_and_Central_America/USA_United_States_of_America/OR_Oregon/USA_OR_Burns.Muni.AP.726830_US.Normals.1991-2020.zip")</f>
        <v>https://climate.onebuilding.org/WMO_Region_4_North_and_Central_America/USA_United_States_of_America/OR_Oregon/USA_OR_Burns.Muni.AP.726830_US.Normals.1991-2020.zip</v>
      </c>
    </row>
    <row r="1461" spans="1:10" x14ac:dyDescent="0.25">
      <c r="A1461" t="s">
        <v>35</v>
      </c>
      <c r="B1461" t="s">
        <v>910</v>
      </c>
      <c r="C1461" t="s">
        <v>914</v>
      </c>
      <c r="D1461" s="2">
        <v>726830</v>
      </c>
      <c r="E1461" t="s">
        <v>13</v>
      </c>
      <c r="F1461">
        <v>43.594999999999999</v>
      </c>
      <c r="G1461">
        <v>-118.9564</v>
      </c>
      <c r="H1461">
        <v>-8</v>
      </c>
      <c r="I1461">
        <v>1261.9000000000001</v>
      </c>
      <c r="J1461" t="str">
        <f>HYPERLINK("https://climate.onebuilding.org/WMO_Region_4_North_and_Central_America/USA_United_States_of_America/OR_Oregon/USA_OR_Burns.Muni.AP.726830_US.Normals.2006-2020.zip")</f>
        <v>https://climate.onebuilding.org/WMO_Region_4_North_and_Central_America/USA_United_States_of_America/OR_Oregon/USA_OR_Burns.Muni.AP.726830_US.Normals.2006-2020.zip</v>
      </c>
    </row>
    <row r="1462" spans="1:10" x14ac:dyDescent="0.25">
      <c r="A1462" t="s">
        <v>35</v>
      </c>
      <c r="B1462" t="s">
        <v>910</v>
      </c>
      <c r="C1462" t="s">
        <v>915</v>
      </c>
      <c r="D1462" s="2">
        <v>725895</v>
      </c>
      <c r="E1462" t="s">
        <v>13</v>
      </c>
      <c r="F1462">
        <v>42.146900000000002</v>
      </c>
      <c r="G1462">
        <v>-121.7242</v>
      </c>
      <c r="H1462">
        <v>-8</v>
      </c>
      <c r="I1462">
        <v>1244.8</v>
      </c>
      <c r="J1462" t="str">
        <f>HYPERLINK("https://climate.onebuilding.org/WMO_Region_4_North_and_Central_America/USA_United_States_of_America/OR_Oregon/USA_OR_Crater.Lake-Klamath.Rgnl.AP.725895_US.Normals.1981-2010.zip")</f>
        <v>https://climate.onebuilding.org/WMO_Region_4_North_and_Central_America/USA_United_States_of_America/OR_Oregon/USA_OR_Crater.Lake-Klamath.Rgnl.AP.725895_US.Normals.1981-2010.zip</v>
      </c>
    </row>
    <row r="1463" spans="1:10" x14ac:dyDescent="0.25">
      <c r="A1463" t="s">
        <v>35</v>
      </c>
      <c r="B1463" t="s">
        <v>910</v>
      </c>
      <c r="C1463" t="s">
        <v>915</v>
      </c>
      <c r="D1463" s="2">
        <v>725895</v>
      </c>
      <c r="E1463" t="s">
        <v>13</v>
      </c>
      <c r="F1463">
        <v>42.146900000000002</v>
      </c>
      <c r="G1463">
        <v>-121.7242</v>
      </c>
      <c r="H1463">
        <v>-8</v>
      </c>
      <c r="I1463">
        <v>1244.8</v>
      </c>
      <c r="J1463" t="str">
        <f>HYPERLINK("https://climate.onebuilding.org/WMO_Region_4_North_and_Central_America/USA_United_States_of_America/OR_Oregon/USA_OR_Crater.Lake-Klamath.Rgnl.AP.725895_US.Normals.1991-2020.zip")</f>
        <v>https://climate.onebuilding.org/WMO_Region_4_North_and_Central_America/USA_United_States_of_America/OR_Oregon/USA_OR_Crater.Lake-Klamath.Rgnl.AP.725895_US.Normals.1991-2020.zip</v>
      </c>
    </row>
    <row r="1464" spans="1:10" x14ac:dyDescent="0.25">
      <c r="A1464" t="s">
        <v>35</v>
      </c>
      <c r="B1464" t="s">
        <v>910</v>
      </c>
      <c r="C1464" t="s">
        <v>915</v>
      </c>
      <c r="D1464" s="2">
        <v>725895</v>
      </c>
      <c r="E1464" t="s">
        <v>13</v>
      </c>
      <c r="F1464">
        <v>42.146900000000002</v>
      </c>
      <c r="G1464">
        <v>-121.7242</v>
      </c>
      <c r="H1464">
        <v>-8</v>
      </c>
      <c r="I1464">
        <v>1244.8</v>
      </c>
      <c r="J1464" t="str">
        <f>HYPERLINK("https://climate.onebuilding.org/WMO_Region_4_North_and_Central_America/USA_United_States_of_America/OR_Oregon/USA_OR_Crater.Lake-Klamath.Rgnl.AP.725895_US.Normals.2006-2020.zip")</f>
        <v>https://climate.onebuilding.org/WMO_Region_4_North_and_Central_America/USA_United_States_of_America/OR_Oregon/USA_OR_Crater.Lake-Klamath.Rgnl.AP.725895_US.Normals.2006-2020.zip</v>
      </c>
    </row>
    <row r="1465" spans="1:10" x14ac:dyDescent="0.25">
      <c r="A1465" t="s">
        <v>35</v>
      </c>
      <c r="B1465" t="s">
        <v>910</v>
      </c>
      <c r="C1465" t="s">
        <v>916</v>
      </c>
      <c r="D1465" s="2">
        <v>726970</v>
      </c>
      <c r="E1465" t="s">
        <v>13</v>
      </c>
      <c r="F1465">
        <v>44.556100000000001</v>
      </c>
      <c r="G1465">
        <v>-119.64579999999999</v>
      </c>
      <c r="H1465">
        <v>-8</v>
      </c>
      <c r="I1465">
        <v>684.3</v>
      </c>
      <c r="J1465" t="str">
        <f>HYPERLINK("https://climate.onebuilding.org/WMO_Region_4_North_and_Central_America/USA_United_States_of_America/OR_Oregon/USA_OR_Day.Fossil.Beds.Natl.Monument.726970_US.Normals.2006-2020.zip")</f>
        <v>https://climate.onebuilding.org/WMO_Region_4_North_and_Central_America/USA_United_States_of_America/OR_Oregon/USA_OR_Day.Fossil.Beds.Natl.Monument.726970_US.Normals.2006-2020.zip</v>
      </c>
    </row>
    <row r="1466" spans="1:10" x14ac:dyDescent="0.25">
      <c r="A1466" t="s">
        <v>35</v>
      </c>
      <c r="B1466" t="s">
        <v>910</v>
      </c>
      <c r="C1466" t="s">
        <v>917</v>
      </c>
      <c r="D1466" s="2">
        <v>726930</v>
      </c>
      <c r="E1466" t="s">
        <v>13</v>
      </c>
      <c r="F1466">
        <v>44.127800000000001</v>
      </c>
      <c r="G1466">
        <v>-123.2206</v>
      </c>
      <c r="H1466">
        <v>-8</v>
      </c>
      <c r="I1466">
        <v>107.6</v>
      </c>
      <c r="J1466" t="str">
        <f>HYPERLINK("https://climate.onebuilding.org/WMO_Region_4_North_and_Central_America/USA_United_States_of_America/OR_Oregon/USA_OR_Eugene.AP-Sweet.Field.726930_US.Normals.1981-2010.zip")</f>
        <v>https://climate.onebuilding.org/WMO_Region_4_North_and_Central_America/USA_United_States_of_America/OR_Oregon/USA_OR_Eugene.AP-Sweet.Field.726930_US.Normals.1981-2010.zip</v>
      </c>
    </row>
    <row r="1467" spans="1:10" x14ac:dyDescent="0.25">
      <c r="A1467" t="s">
        <v>35</v>
      </c>
      <c r="B1467" t="s">
        <v>910</v>
      </c>
      <c r="C1467" t="s">
        <v>917</v>
      </c>
      <c r="D1467" s="2">
        <v>726930</v>
      </c>
      <c r="E1467" t="s">
        <v>13</v>
      </c>
      <c r="F1467">
        <v>44.127800000000001</v>
      </c>
      <c r="G1467">
        <v>-123.2206</v>
      </c>
      <c r="H1467">
        <v>-8</v>
      </c>
      <c r="I1467">
        <v>107.6</v>
      </c>
      <c r="J1467" t="str">
        <f>HYPERLINK("https://climate.onebuilding.org/WMO_Region_4_North_and_Central_America/USA_United_States_of_America/OR_Oregon/USA_OR_Eugene.AP-Sweet.Field.726930_US.Normals.1991-2020.zip")</f>
        <v>https://climate.onebuilding.org/WMO_Region_4_North_and_Central_America/USA_United_States_of_America/OR_Oregon/USA_OR_Eugene.AP-Sweet.Field.726930_US.Normals.1991-2020.zip</v>
      </c>
    </row>
    <row r="1468" spans="1:10" x14ac:dyDescent="0.25">
      <c r="A1468" t="s">
        <v>35</v>
      </c>
      <c r="B1468" t="s">
        <v>910</v>
      </c>
      <c r="C1468" t="s">
        <v>917</v>
      </c>
      <c r="D1468" s="2">
        <v>726930</v>
      </c>
      <c r="E1468" t="s">
        <v>13</v>
      </c>
      <c r="F1468">
        <v>44.127800000000001</v>
      </c>
      <c r="G1468">
        <v>-123.2206</v>
      </c>
      <c r="H1468">
        <v>-8</v>
      </c>
      <c r="I1468">
        <v>107.6</v>
      </c>
      <c r="J1468" t="str">
        <f>HYPERLINK("https://climate.onebuilding.org/WMO_Region_4_North_and_Central_America/USA_United_States_of_America/OR_Oregon/USA_OR_Eugene.AP-Sweet.Field.726930_US.Normals.2006-2020.zip")</f>
        <v>https://climate.onebuilding.org/WMO_Region_4_North_and_Central_America/USA_United_States_of_America/OR_Oregon/USA_OR_Eugene.AP-Sweet.Field.726930_US.Normals.2006-2020.zip</v>
      </c>
    </row>
    <row r="1469" spans="1:10" x14ac:dyDescent="0.25">
      <c r="A1469" t="s">
        <v>35</v>
      </c>
      <c r="B1469" t="s">
        <v>910</v>
      </c>
      <c r="C1469" t="s">
        <v>918</v>
      </c>
      <c r="D1469" s="2">
        <v>726960</v>
      </c>
      <c r="E1469" t="s">
        <v>13</v>
      </c>
      <c r="F1469">
        <v>44.418599999999998</v>
      </c>
      <c r="G1469">
        <v>-123.3258</v>
      </c>
      <c r="H1469">
        <v>-8</v>
      </c>
      <c r="I1469">
        <v>95.1</v>
      </c>
      <c r="J1469" t="str">
        <f>HYPERLINK("https://climate.onebuilding.org/WMO_Region_4_North_and_Central_America/USA_United_States_of_America/OR_Oregon/USA_OR_Finley.Natl.Wildlife.Refuge.726960_US.Normals.2006-2020.zip")</f>
        <v>https://climate.onebuilding.org/WMO_Region_4_North_and_Central_America/USA_United_States_of_America/OR_Oregon/USA_OR_Finley.Natl.Wildlife.Refuge.726960_US.Normals.2006-2020.zip</v>
      </c>
    </row>
    <row r="1470" spans="1:10" x14ac:dyDescent="0.25">
      <c r="A1470" t="s">
        <v>35</v>
      </c>
      <c r="B1470" t="s">
        <v>910</v>
      </c>
      <c r="C1470" t="s">
        <v>919</v>
      </c>
      <c r="D1470" s="2">
        <v>725975</v>
      </c>
      <c r="E1470" t="s">
        <v>13</v>
      </c>
      <c r="F1470">
        <v>42.600299999999997</v>
      </c>
      <c r="G1470">
        <v>-123.3642</v>
      </c>
      <c r="H1470">
        <v>-8</v>
      </c>
      <c r="I1470">
        <v>1168</v>
      </c>
      <c r="J1470" t="str">
        <f>HYPERLINK("https://climate.onebuilding.org/WMO_Region_4_North_and_Central_America/USA_United_States_of_America/OR_Oregon/USA_OR_Grants.Pass-Sexton.Summit.725975_US.Normals.1991-2020.zip")</f>
        <v>https://climate.onebuilding.org/WMO_Region_4_North_and_Central_America/USA_United_States_of_America/OR_Oregon/USA_OR_Grants.Pass-Sexton.Summit.725975_US.Normals.1991-2020.zip</v>
      </c>
    </row>
    <row r="1471" spans="1:10" x14ac:dyDescent="0.25">
      <c r="A1471" t="s">
        <v>35</v>
      </c>
      <c r="B1471" t="s">
        <v>910</v>
      </c>
      <c r="C1471" t="s">
        <v>919</v>
      </c>
      <c r="D1471" s="2">
        <v>725975</v>
      </c>
      <c r="E1471" t="s">
        <v>13</v>
      </c>
      <c r="F1471">
        <v>42.600299999999997</v>
      </c>
      <c r="G1471">
        <v>-123.3642</v>
      </c>
      <c r="H1471">
        <v>-8</v>
      </c>
      <c r="I1471">
        <v>1168</v>
      </c>
      <c r="J1471" t="str">
        <f>HYPERLINK("https://climate.onebuilding.org/WMO_Region_4_North_and_Central_America/USA_United_States_of_America/OR_Oregon/USA_OR_Grants.Pass-Sexton.Summit.725975_US.Normals.2006-2020.zip")</f>
        <v>https://climate.onebuilding.org/WMO_Region_4_North_and_Central_America/USA_United_States_of_America/OR_Oregon/USA_OR_Grants.Pass-Sexton.Summit.725975_US.Normals.2006-2020.zip</v>
      </c>
    </row>
    <row r="1472" spans="1:10" x14ac:dyDescent="0.25">
      <c r="A1472" t="s">
        <v>35</v>
      </c>
      <c r="B1472" t="s">
        <v>910</v>
      </c>
      <c r="C1472" t="s">
        <v>920</v>
      </c>
      <c r="D1472" s="2">
        <v>726883</v>
      </c>
      <c r="E1472" t="s">
        <v>13</v>
      </c>
      <c r="F1472">
        <v>45.825800000000001</v>
      </c>
      <c r="G1472">
        <v>-119.2611</v>
      </c>
      <c r="H1472">
        <v>-8</v>
      </c>
      <c r="I1472">
        <v>195.4</v>
      </c>
      <c r="J1472" t="str">
        <f>HYPERLINK("https://climate.onebuilding.org/WMO_Region_4_North_and_Central_America/USA_United_States_of_America/OR_Oregon/USA_OR_Hermiston.Muni.AP.726883_US.Normals.2006-2020.zip")</f>
        <v>https://climate.onebuilding.org/WMO_Region_4_North_and_Central_America/USA_United_States_of_America/OR_Oregon/USA_OR_Hermiston.Muni.AP.726883_US.Normals.2006-2020.zip</v>
      </c>
    </row>
    <row r="1473" spans="1:10" x14ac:dyDescent="0.25">
      <c r="A1473" t="s">
        <v>35</v>
      </c>
      <c r="B1473" t="s">
        <v>910</v>
      </c>
      <c r="C1473" t="s">
        <v>921</v>
      </c>
      <c r="D1473" s="2">
        <v>726884</v>
      </c>
      <c r="E1473" t="s">
        <v>13</v>
      </c>
      <c r="F1473">
        <v>45.283299999999997</v>
      </c>
      <c r="G1473">
        <v>-118.0167</v>
      </c>
      <c r="H1473">
        <v>-8</v>
      </c>
      <c r="I1473">
        <v>825.1</v>
      </c>
      <c r="J1473" t="str">
        <f>HYPERLINK("https://climate.onebuilding.org/WMO_Region_4_North_and_Central_America/USA_United_States_of_America/OR_Oregon/USA_OR_La.Grande-Union.County.AP.726884_US.Normals.2006-2020.zip")</f>
        <v>https://climate.onebuilding.org/WMO_Region_4_North_and_Central_America/USA_United_States_of_America/OR_Oregon/USA_OR_La.Grande-Union.County.AP.726884_US.Normals.2006-2020.zip</v>
      </c>
    </row>
    <row r="1474" spans="1:10" x14ac:dyDescent="0.25">
      <c r="A1474" t="s">
        <v>35</v>
      </c>
      <c r="B1474" t="s">
        <v>910</v>
      </c>
      <c r="C1474" t="s">
        <v>922</v>
      </c>
      <c r="D1474" s="2">
        <v>726881</v>
      </c>
      <c r="E1474" t="s">
        <v>13</v>
      </c>
      <c r="F1474">
        <v>45.194699999999997</v>
      </c>
      <c r="G1474">
        <v>-123.1339</v>
      </c>
      <c r="H1474">
        <v>-8</v>
      </c>
      <c r="I1474">
        <v>48.5</v>
      </c>
      <c r="J1474" t="str">
        <f>HYPERLINK("https://climate.onebuilding.org/WMO_Region_4_North_and_Central_America/USA_United_States_of_America/OR_Oregon/USA_OR_McMinnville.Muni.AP.726881_US.Normals.2006-2020.zip")</f>
        <v>https://climate.onebuilding.org/WMO_Region_4_North_and_Central_America/USA_United_States_of_America/OR_Oregon/USA_OR_McMinnville.Muni.AP.726881_US.Normals.2006-2020.zip</v>
      </c>
    </row>
    <row r="1475" spans="1:10" x14ac:dyDescent="0.25">
      <c r="A1475" t="s">
        <v>35</v>
      </c>
      <c r="B1475" t="s">
        <v>910</v>
      </c>
      <c r="C1475" t="s">
        <v>923</v>
      </c>
      <c r="D1475" s="2">
        <v>726885</v>
      </c>
      <c r="E1475" t="s">
        <v>13</v>
      </c>
      <c r="F1475">
        <v>45.511400000000002</v>
      </c>
      <c r="G1475">
        <v>-118.4247</v>
      </c>
      <c r="H1475">
        <v>-8</v>
      </c>
      <c r="I1475">
        <v>1134.8</v>
      </c>
      <c r="J1475" t="str">
        <f>HYPERLINK("https://climate.onebuilding.org/WMO_Region_4_North_and_Central_America/USA_United_States_of_America/OR_Oregon/USA_OR_Meacham.726885_US.Normals.1991-2020.zip")</f>
        <v>https://climate.onebuilding.org/WMO_Region_4_North_and_Central_America/USA_United_States_of_America/OR_Oregon/USA_OR_Meacham.726885_US.Normals.1991-2020.zip</v>
      </c>
    </row>
    <row r="1476" spans="1:10" x14ac:dyDescent="0.25">
      <c r="A1476" t="s">
        <v>35</v>
      </c>
      <c r="B1476" t="s">
        <v>910</v>
      </c>
      <c r="C1476" t="s">
        <v>923</v>
      </c>
      <c r="D1476" s="2">
        <v>726885</v>
      </c>
      <c r="E1476" t="s">
        <v>13</v>
      </c>
      <c r="F1476">
        <v>45.511400000000002</v>
      </c>
      <c r="G1476">
        <v>-118.4247</v>
      </c>
      <c r="H1476">
        <v>-8</v>
      </c>
      <c r="I1476">
        <v>1134.8</v>
      </c>
      <c r="J1476" t="str">
        <f>HYPERLINK("https://climate.onebuilding.org/WMO_Region_4_North_and_Central_America/USA_United_States_of_America/OR_Oregon/USA_OR_Meacham.726885_US.Normals.2006-2020.zip")</f>
        <v>https://climate.onebuilding.org/WMO_Region_4_North_and_Central_America/USA_United_States_of_America/OR_Oregon/USA_OR_Meacham.726885_US.Normals.2006-2020.zip</v>
      </c>
    </row>
    <row r="1477" spans="1:10" x14ac:dyDescent="0.25">
      <c r="A1477" t="s">
        <v>35</v>
      </c>
      <c r="B1477" t="s">
        <v>910</v>
      </c>
      <c r="C1477" t="s">
        <v>924</v>
      </c>
      <c r="D1477" s="2">
        <v>725970</v>
      </c>
      <c r="E1477" t="s">
        <v>13</v>
      </c>
      <c r="F1477">
        <v>42.381100000000004</v>
      </c>
      <c r="G1477">
        <v>-122.87220000000001</v>
      </c>
      <c r="H1477">
        <v>-8</v>
      </c>
      <c r="I1477">
        <v>395.3</v>
      </c>
      <c r="J1477" t="str">
        <f>HYPERLINK("https://climate.onebuilding.org/WMO_Region_4_North_and_Central_America/USA_United_States_of_America/OR_Oregon/USA_OR_Medford-Rogue.Valley.Intl-Medford.AP.725970_US.Normals.1981-2010.zip")</f>
        <v>https://climate.onebuilding.org/WMO_Region_4_North_and_Central_America/USA_United_States_of_America/OR_Oregon/USA_OR_Medford-Rogue.Valley.Intl-Medford.AP.725970_US.Normals.1981-2010.zip</v>
      </c>
    </row>
    <row r="1478" spans="1:10" x14ac:dyDescent="0.25">
      <c r="A1478" t="s">
        <v>35</v>
      </c>
      <c r="B1478" t="s">
        <v>910</v>
      </c>
      <c r="C1478" t="s">
        <v>924</v>
      </c>
      <c r="D1478" s="2">
        <v>725970</v>
      </c>
      <c r="E1478" t="s">
        <v>13</v>
      </c>
      <c r="F1478">
        <v>42.381100000000004</v>
      </c>
      <c r="G1478">
        <v>-122.87220000000001</v>
      </c>
      <c r="H1478">
        <v>-8</v>
      </c>
      <c r="I1478">
        <v>395.3</v>
      </c>
      <c r="J1478" t="str">
        <f>HYPERLINK("https://climate.onebuilding.org/WMO_Region_4_North_and_Central_America/USA_United_States_of_America/OR_Oregon/USA_OR_Medford-Rogue.Valley.Intl-Medford.AP.725970_US.Normals.1991-2020.zip")</f>
        <v>https://climate.onebuilding.org/WMO_Region_4_North_and_Central_America/USA_United_States_of_America/OR_Oregon/USA_OR_Medford-Rogue.Valley.Intl-Medford.AP.725970_US.Normals.1991-2020.zip</v>
      </c>
    </row>
    <row r="1479" spans="1:10" x14ac:dyDescent="0.25">
      <c r="A1479" t="s">
        <v>35</v>
      </c>
      <c r="B1479" t="s">
        <v>910</v>
      </c>
      <c r="C1479" t="s">
        <v>924</v>
      </c>
      <c r="D1479" s="2">
        <v>725970</v>
      </c>
      <c r="E1479" t="s">
        <v>13</v>
      </c>
      <c r="F1479">
        <v>42.381100000000004</v>
      </c>
      <c r="G1479">
        <v>-122.87220000000001</v>
      </c>
      <c r="H1479">
        <v>-8</v>
      </c>
      <c r="I1479">
        <v>395.3</v>
      </c>
      <c r="J1479" t="str">
        <f>HYPERLINK("https://climate.onebuilding.org/WMO_Region_4_North_and_Central_America/USA_United_States_of_America/OR_Oregon/USA_OR_Medford-Rogue.Valley.Intl-Medford.AP.725970_US.Normals.2006-2020.zip")</f>
        <v>https://climate.onebuilding.org/WMO_Region_4_North_and_Central_America/USA_United_States_of_America/OR_Oregon/USA_OR_Medford-Rogue.Valley.Intl-Medford.AP.725970_US.Normals.2006-2020.zip</v>
      </c>
    </row>
    <row r="1480" spans="1:10" x14ac:dyDescent="0.25">
      <c r="A1480" t="s">
        <v>35</v>
      </c>
      <c r="B1480" t="s">
        <v>910</v>
      </c>
      <c r="C1480" t="s">
        <v>925</v>
      </c>
      <c r="D1480" s="2">
        <v>726950</v>
      </c>
      <c r="E1480" t="s">
        <v>13</v>
      </c>
      <c r="F1480">
        <v>44.582999999999998</v>
      </c>
      <c r="G1480">
        <v>-124.05</v>
      </c>
      <c r="H1480">
        <v>-8</v>
      </c>
      <c r="I1480">
        <v>37.200000000000003</v>
      </c>
      <c r="J1480" t="str">
        <f>HYPERLINK("https://climate.onebuilding.org/WMO_Region_4_North_and_Central_America/USA_United_States_of_America/OR_Oregon/USA_OR_Newport.Muni.AP.726950_US.Normals.2006-2020.zip")</f>
        <v>https://climate.onebuilding.org/WMO_Region_4_North_and_Central_America/USA_United_States_of_America/OR_Oregon/USA_OR_Newport.Muni.AP.726950_US.Normals.2006-2020.zip</v>
      </c>
    </row>
    <row r="1481" spans="1:10" x14ac:dyDescent="0.25">
      <c r="A1481" t="s">
        <v>35</v>
      </c>
      <c r="B1481" t="s">
        <v>910</v>
      </c>
      <c r="C1481" t="s">
        <v>926</v>
      </c>
      <c r="D1481" s="2">
        <v>726917</v>
      </c>
      <c r="E1481" t="s">
        <v>13</v>
      </c>
      <c r="F1481">
        <v>43.4133</v>
      </c>
      <c r="G1481">
        <v>-124.2436</v>
      </c>
      <c r="H1481">
        <v>-8</v>
      </c>
      <c r="I1481">
        <v>5.2</v>
      </c>
      <c r="J1481" t="str">
        <f>HYPERLINK("https://climate.onebuilding.org/WMO_Region_4_North_and_Central_America/USA_United_States_of_America/OR_Oregon/USA_OR_North.Bend-Southwest.Oregon.Rgnl.AP.726917_US.Normals.1981-2010.zip")</f>
        <v>https://climate.onebuilding.org/WMO_Region_4_North_and_Central_America/USA_United_States_of_America/OR_Oregon/USA_OR_North.Bend-Southwest.Oregon.Rgnl.AP.726917_US.Normals.1981-2010.zip</v>
      </c>
    </row>
    <row r="1482" spans="1:10" x14ac:dyDescent="0.25">
      <c r="A1482" t="s">
        <v>35</v>
      </c>
      <c r="B1482" t="s">
        <v>910</v>
      </c>
      <c r="C1482" t="s">
        <v>926</v>
      </c>
      <c r="D1482" s="2">
        <v>726917</v>
      </c>
      <c r="E1482" t="s">
        <v>13</v>
      </c>
      <c r="F1482">
        <v>43.4133</v>
      </c>
      <c r="G1482">
        <v>-124.2436</v>
      </c>
      <c r="H1482">
        <v>-8</v>
      </c>
      <c r="I1482">
        <v>5.2</v>
      </c>
      <c r="J1482" t="str">
        <f>HYPERLINK("https://climate.onebuilding.org/WMO_Region_4_North_and_Central_America/USA_United_States_of_America/OR_Oregon/USA_OR_North.Bend-Southwest.Oregon.Rgnl.AP.726917_US.Normals.1991-2020.zip")</f>
        <v>https://climate.onebuilding.org/WMO_Region_4_North_and_Central_America/USA_United_States_of_America/OR_Oregon/USA_OR_North.Bend-Southwest.Oregon.Rgnl.AP.726917_US.Normals.1991-2020.zip</v>
      </c>
    </row>
    <row r="1483" spans="1:10" x14ac:dyDescent="0.25">
      <c r="A1483" t="s">
        <v>35</v>
      </c>
      <c r="B1483" t="s">
        <v>910</v>
      </c>
      <c r="C1483" t="s">
        <v>926</v>
      </c>
      <c r="D1483" s="2">
        <v>726917</v>
      </c>
      <c r="E1483" t="s">
        <v>13</v>
      </c>
      <c r="F1483">
        <v>43.4133</v>
      </c>
      <c r="G1483">
        <v>-124.2436</v>
      </c>
      <c r="H1483">
        <v>-8</v>
      </c>
      <c r="I1483">
        <v>5.2</v>
      </c>
      <c r="J1483" t="str">
        <f>HYPERLINK("https://climate.onebuilding.org/WMO_Region_4_North_and_Central_America/USA_United_States_of_America/OR_Oregon/USA_OR_North.Bend-Southwest.Oregon.Rgnl.AP.726917_US.Normals.2006-2020.zip")</f>
        <v>https://climate.onebuilding.org/WMO_Region_4_North_and_Central_America/USA_United_States_of_America/OR_Oregon/USA_OR_North.Bend-Southwest.Oregon.Rgnl.AP.726917_US.Normals.2006-2020.zip</v>
      </c>
    </row>
    <row r="1484" spans="1:10" x14ac:dyDescent="0.25">
      <c r="A1484" t="s">
        <v>35</v>
      </c>
      <c r="B1484" t="s">
        <v>910</v>
      </c>
      <c r="C1484" t="s">
        <v>927</v>
      </c>
      <c r="D1484" s="2">
        <v>726837</v>
      </c>
      <c r="E1484" t="s">
        <v>13</v>
      </c>
      <c r="F1484">
        <v>44.020600000000002</v>
      </c>
      <c r="G1484">
        <v>-117.0128</v>
      </c>
      <c r="H1484">
        <v>-8</v>
      </c>
      <c r="I1484">
        <v>667.5</v>
      </c>
      <c r="J1484" t="str">
        <f>HYPERLINK("https://climate.onebuilding.org/WMO_Region_4_North_and_Central_America/USA_United_States_of_America/OR_Oregon/USA_OR_Ontario.Muni.AP.726837_US.Normals.2006-2020.zip")</f>
        <v>https://climate.onebuilding.org/WMO_Region_4_North_and_Central_America/USA_United_States_of_America/OR_Oregon/USA_OR_Ontario.Muni.AP.726837_US.Normals.2006-2020.zip</v>
      </c>
    </row>
    <row r="1485" spans="1:10" x14ac:dyDescent="0.25">
      <c r="A1485" t="s">
        <v>35</v>
      </c>
      <c r="B1485" t="s">
        <v>910</v>
      </c>
      <c r="C1485" t="s">
        <v>928</v>
      </c>
      <c r="D1485" s="2">
        <v>726880</v>
      </c>
      <c r="E1485" t="s">
        <v>13</v>
      </c>
      <c r="F1485">
        <v>45.690600000000003</v>
      </c>
      <c r="G1485">
        <v>-118.8528</v>
      </c>
      <c r="H1485">
        <v>-8</v>
      </c>
      <c r="I1485">
        <v>461.8</v>
      </c>
      <c r="J1485" t="str">
        <f>HYPERLINK("https://climate.onebuilding.org/WMO_Region_4_North_and_Central_America/USA_United_States_of_America/OR_Oregon/USA_OR_Pendleton-Eastern.Oregon.Rgnl.AP.726880_US.Normals.1981-2010.zip")</f>
        <v>https://climate.onebuilding.org/WMO_Region_4_North_and_Central_America/USA_United_States_of_America/OR_Oregon/USA_OR_Pendleton-Eastern.Oregon.Rgnl.AP.726880_US.Normals.1981-2010.zip</v>
      </c>
    </row>
    <row r="1486" spans="1:10" x14ac:dyDescent="0.25">
      <c r="A1486" t="s">
        <v>35</v>
      </c>
      <c r="B1486" t="s">
        <v>910</v>
      </c>
      <c r="C1486" t="s">
        <v>928</v>
      </c>
      <c r="D1486" s="2">
        <v>726880</v>
      </c>
      <c r="E1486" t="s">
        <v>13</v>
      </c>
      <c r="F1486">
        <v>45.690600000000003</v>
      </c>
      <c r="G1486">
        <v>-118.8528</v>
      </c>
      <c r="H1486">
        <v>-8</v>
      </c>
      <c r="I1486">
        <v>461.8</v>
      </c>
      <c r="J1486" t="str">
        <f>HYPERLINK("https://climate.onebuilding.org/WMO_Region_4_North_and_Central_America/USA_United_States_of_America/OR_Oregon/USA_OR_Pendleton-Eastern.Oregon.Rgnl.AP.726880_US.Normals.1991-2020.zip")</f>
        <v>https://climate.onebuilding.org/WMO_Region_4_North_and_Central_America/USA_United_States_of_America/OR_Oregon/USA_OR_Pendleton-Eastern.Oregon.Rgnl.AP.726880_US.Normals.1991-2020.zip</v>
      </c>
    </row>
    <row r="1487" spans="1:10" x14ac:dyDescent="0.25">
      <c r="A1487" t="s">
        <v>35</v>
      </c>
      <c r="B1487" t="s">
        <v>910</v>
      </c>
      <c r="C1487" t="s">
        <v>928</v>
      </c>
      <c r="D1487" s="2">
        <v>726880</v>
      </c>
      <c r="E1487" t="s">
        <v>13</v>
      </c>
      <c r="F1487">
        <v>45.690600000000003</v>
      </c>
      <c r="G1487">
        <v>-118.8528</v>
      </c>
      <c r="H1487">
        <v>-8</v>
      </c>
      <c r="I1487">
        <v>461.8</v>
      </c>
      <c r="J1487" t="str">
        <f>HYPERLINK("https://climate.onebuilding.org/WMO_Region_4_North_and_Central_America/USA_United_States_of_America/OR_Oregon/USA_OR_Pendleton-Eastern.Oregon.Rgnl.AP.726880_US.Normals.2006-2020.zip")</f>
        <v>https://climate.onebuilding.org/WMO_Region_4_North_and_Central_America/USA_United_States_of_America/OR_Oregon/USA_OR_Pendleton-Eastern.Oregon.Rgnl.AP.726880_US.Normals.2006-2020.zip</v>
      </c>
    </row>
    <row r="1488" spans="1:10" x14ac:dyDescent="0.25">
      <c r="A1488" t="s">
        <v>35</v>
      </c>
      <c r="B1488" t="s">
        <v>910</v>
      </c>
      <c r="C1488" t="s">
        <v>929</v>
      </c>
      <c r="D1488" s="2">
        <v>726986</v>
      </c>
      <c r="E1488" t="s">
        <v>13</v>
      </c>
      <c r="F1488">
        <v>45.540599999999998</v>
      </c>
      <c r="G1488">
        <v>-122.9486</v>
      </c>
      <c r="H1488">
        <v>-8</v>
      </c>
      <c r="I1488">
        <v>62.2</v>
      </c>
      <c r="J1488" t="str">
        <f>HYPERLINK("https://climate.onebuilding.org/WMO_Region_4_North_and_Central_America/USA_United_States_of_America/OR_Oregon/USA_OR_Portland-Hillsboro.AP.726986_US.Normals.1981-2010.zip")</f>
        <v>https://climate.onebuilding.org/WMO_Region_4_North_and_Central_America/USA_United_States_of_America/OR_Oregon/USA_OR_Portland-Hillsboro.AP.726986_US.Normals.1981-2010.zip</v>
      </c>
    </row>
    <row r="1489" spans="1:10" x14ac:dyDescent="0.25">
      <c r="A1489" t="s">
        <v>35</v>
      </c>
      <c r="B1489" t="s">
        <v>910</v>
      </c>
      <c r="C1489" t="s">
        <v>929</v>
      </c>
      <c r="D1489" s="2">
        <v>726986</v>
      </c>
      <c r="E1489" t="s">
        <v>13</v>
      </c>
      <c r="F1489">
        <v>45.540599999999998</v>
      </c>
      <c r="G1489">
        <v>-122.9486</v>
      </c>
      <c r="H1489">
        <v>-8</v>
      </c>
      <c r="I1489">
        <v>62.2</v>
      </c>
      <c r="J1489" t="str">
        <f>HYPERLINK("https://climate.onebuilding.org/WMO_Region_4_North_and_Central_America/USA_United_States_of_America/OR_Oregon/USA_OR_Portland-Hillsboro.AP.726986_US.Normals.1991-2020.zip")</f>
        <v>https://climate.onebuilding.org/WMO_Region_4_North_and_Central_America/USA_United_States_of_America/OR_Oregon/USA_OR_Portland-Hillsboro.AP.726986_US.Normals.1991-2020.zip</v>
      </c>
    </row>
    <row r="1490" spans="1:10" x14ac:dyDescent="0.25">
      <c r="A1490" t="s">
        <v>35</v>
      </c>
      <c r="B1490" t="s">
        <v>910</v>
      </c>
      <c r="C1490" t="s">
        <v>929</v>
      </c>
      <c r="D1490" s="2">
        <v>726986</v>
      </c>
      <c r="E1490" t="s">
        <v>13</v>
      </c>
      <c r="F1490">
        <v>45.540599999999998</v>
      </c>
      <c r="G1490">
        <v>-122.9486</v>
      </c>
      <c r="H1490">
        <v>-8</v>
      </c>
      <c r="I1490">
        <v>62.2</v>
      </c>
      <c r="J1490" t="str">
        <f>HYPERLINK("https://climate.onebuilding.org/WMO_Region_4_North_and_Central_America/USA_United_States_of_America/OR_Oregon/USA_OR_Portland-Hillsboro.AP.726986_US.Normals.2006-2020.zip")</f>
        <v>https://climate.onebuilding.org/WMO_Region_4_North_and_Central_America/USA_United_States_of_America/OR_Oregon/USA_OR_Portland-Hillsboro.AP.726986_US.Normals.2006-2020.zip</v>
      </c>
    </row>
    <row r="1491" spans="1:10" x14ac:dyDescent="0.25">
      <c r="A1491" t="s">
        <v>35</v>
      </c>
      <c r="B1491" t="s">
        <v>910</v>
      </c>
      <c r="C1491" t="s">
        <v>930</v>
      </c>
      <c r="D1491" s="2">
        <v>726985</v>
      </c>
      <c r="E1491" t="s">
        <v>13</v>
      </c>
      <c r="F1491">
        <v>45.551099999999998</v>
      </c>
      <c r="G1491">
        <v>-122.4089</v>
      </c>
      <c r="H1491">
        <v>-8</v>
      </c>
      <c r="I1491">
        <v>8.8000000000000007</v>
      </c>
      <c r="J1491" t="str">
        <f>HYPERLINK("https://climate.onebuilding.org/WMO_Region_4_North_and_Central_America/USA_United_States_of_America/OR_Oregon/USA_OR_Portland-Troutdale.AP.726985_US.Normals.2006-2020.zip")</f>
        <v>https://climate.onebuilding.org/WMO_Region_4_North_and_Central_America/USA_United_States_of_America/OR_Oregon/USA_OR_Portland-Troutdale.AP.726985_US.Normals.2006-2020.zip</v>
      </c>
    </row>
    <row r="1492" spans="1:10" x14ac:dyDescent="0.25">
      <c r="A1492" t="s">
        <v>35</v>
      </c>
      <c r="B1492" t="s">
        <v>910</v>
      </c>
      <c r="C1492" t="s">
        <v>931</v>
      </c>
      <c r="D1492" s="2">
        <v>726980</v>
      </c>
      <c r="E1492" t="s">
        <v>13</v>
      </c>
      <c r="F1492">
        <v>45.590800000000002</v>
      </c>
      <c r="G1492">
        <v>-122.6003</v>
      </c>
      <c r="H1492">
        <v>-8</v>
      </c>
      <c r="I1492">
        <v>5.8</v>
      </c>
      <c r="J1492" t="str">
        <f>HYPERLINK("https://climate.onebuilding.org/WMO_Region_4_North_and_Central_America/USA_United_States_of_America/OR_Oregon/USA_OR_Portland.Intl.AP.726980_US.Normals.1981-2010.zip")</f>
        <v>https://climate.onebuilding.org/WMO_Region_4_North_and_Central_America/USA_United_States_of_America/OR_Oregon/USA_OR_Portland.Intl.AP.726980_US.Normals.1981-2010.zip</v>
      </c>
    </row>
    <row r="1493" spans="1:10" x14ac:dyDescent="0.25">
      <c r="A1493" t="s">
        <v>35</v>
      </c>
      <c r="B1493" t="s">
        <v>910</v>
      </c>
      <c r="C1493" t="s">
        <v>931</v>
      </c>
      <c r="D1493" s="2">
        <v>726980</v>
      </c>
      <c r="E1493" t="s">
        <v>13</v>
      </c>
      <c r="F1493">
        <v>45.590800000000002</v>
      </c>
      <c r="G1493">
        <v>-122.6003</v>
      </c>
      <c r="H1493">
        <v>-8</v>
      </c>
      <c r="I1493">
        <v>5.8</v>
      </c>
      <c r="J1493" t="str">
        <f>HYPERLINK("https://climate.onebuilding.org/WMO_Region_4_North_and_Central_America/USA_United_States_of_America/OR_Oregon/USA_OR_Portland.Intl.AP.726980_US.Normals.1991-2020.zip")</f>
        <v>https://climate.onebuilding.org/WMO_Region_4_North_and_Central_America/USA_United_States_of_America/OR_Oregon/USA_OR_Portland.Intl.AP.726980_US.Normals.1991-2020.zip</v>
      </c>
    </row>
    <row r="1494" spans="1:10" x14ac:dyDescent="0.25">
      <c r="A1494" t="s">
        <v>35</v>
      </c>
      <c r="B1494" t="s">
        <v>910</v>
      </c>
      <c r="C1494" t="s">
        <v>931</v>
      </c>
      <c r="D1494" s="2">
        <v>726980</v>
      </c>
      <c r="E1494" t="s">
        <v>13</v>
      </c>
      <c r="F1494">
        <v>45.590800000000002</v>
      </c>
      <c r="G1494">
        <v>-122.6003</v>
      </c>
      <c r="H1494">
        <v>-8</v>
      </c>
      <c r="I1494">
        <v>5.8</v>
      </c>
      <c r="J1494" t="str">
        <f>HYPERLINK("https://climate.onebuilding.org/WMO_Region_4_North_and_Central_America/USA_United_States_of_America/OR_Oregon/USA_OR_Portland.Intl.AP.726980_US.Normals.2006-2020.zip")</f>
        <v>https://climate.onebuilding.org/WMO_Region_4_North_and_Central_America/USA_United_States_of_America/OR_Oregon/USA_OR_Portland.Intl.AP.726980_US.Normals.2006-2020.zip</v>
      </c>
    </row>
    <row r="1495" spans="1:10" x14ac:dyDescent="0.25">
      <c r="A1495" t="s">
        <v>35</v>
      </c>
      <c r="B1495" t="s">
        <v>910</v>
      </c>
      <c r="C1495" t="s">
        <v>932</v>
      </c>
      <c r="D1495" s="2">
        <v>726920</v>
      </c>
      <c r="E1495" t="s">
        <v>13</v>
      </c>
      <c r="F1495">
        <v>44.255800000000001</v>
      </c>
      <c r="G1495">
        <v>-121.1392</v>
      </c>
      <c r="H1495">
        <v>-8</v>
      </c>
      <c r="I1495">
        <v>927.5</v>
      </c>
      <c r="J1495" t="str">
        <f>HYPERLINK("https://climate.onebuilding.org/WMO_Region_4_North_and_Central_America/USA_United_States_of_America/OR_Oregon/USA_OR_Redmond.Muni.AP-Roberts.Field.726920_US.Normals.2006-2020.zip")</f>
        <v>https://climate.onebuilding.org/WMO_Region_4_North_and_Central_America/USA_United_States_of_America/OR_Oregon/USA_OR_Redmond.Muni.AP-Roberts.Field.726920_US.Normals.2006-2020.zip</v>
      </c>
    </row>
    <row r="1496" spans="1:10" x14ac:dyDescent="0.25">
      <c r="A1496" t="s">
        <v>35</v>
      </c>
      <c r="B1496" t="s">
        <v>910</v>
      </c>
      <c r="C1496" t="s">
        <v>933</v>
      </c>
      <c r="D1496" s="2">
        <v>727010</v>
      </c>
      <c r="E1496" t="s">
        <v>13</v>
      </c>
      <c r="F1496">
        <v>43.4711</v>
      </c>
      <c r="G1496">
        <v>-119.6917</v>
      </c>
      <c r="H1496">
        <v>-8</v>
      </c>
      <c r="I1496">
        <v>1396.9</v>
      </c>
      <c r="J1496" t="str">
        <f>HYPERLINK("https://climate.onebuilding.org/WMO_Region_4_North_and_Central_America/USA_United_States_of_America/OR_Oregon/USA_OR_Riley-Natl.Great.Basin.Experimental.Range.727010_US.Normals.2006-2020.zip")</f>
        <v>https://climate.onebuilding.org/WMO_Region_4_North_and_Central_America/USA_United_States_of_America/OR_Oregon/USA_OR_Riley-Natl.Great.Basin.Experimental.Range.727010_US.Normals.2006-2020.zip</v>
      </c>
    </row>
    <row r="1497" spans="1:10" x14ac:dyDescent="0.25">
      <c r="A1497" t="s">
        <v>35</v>
      </c>
      <c r="B1497" t="s">
        <v>910</v>
      </c>
      <c r="C1497" t="s">
        <v>934</v>
      </c>
      <c r="D1497" s="2">
        <v>726875</v>
      </c>
      <c r="E1497" t="s">
        <v>13</v>
      </c>
      <c r="F1497">
        <v>42.590600000000002</v>
      </c>
      <c r="G1497">
        <v>-117.8644</v>
      </c>
      <c r="H1497">
        <v>-8</v>
      </c>
      <c r="I1497">
        <v>1234.4000000000001</v>
      </c>
      <c r="J1497" t="str">
        <f>HYPERLINK("https://climate.onebuilding.org/WMO_Region_4_North_and_Central_America/USA_United_States_of_America/OR_Oregon/USA_OR_Rome.State.AP.726875_US.Normals.2006-2020.zip")</f>
        <v>https://climate.onebuilding.org/WMO_Region_4_North_and_Central_America/USA_United_States_of_America/OR_Oregon/USA_OR_Rome.State.AP.726875_US.Normals.2006-2020.zip</v>
      </c>
    </row>
    <row r="1498" spans="1:10" x14ac:dyDescent="0.25">
      <c r="A1498" t="s">
        <v>35</v>
      </c>
      <c r="B1498" t="s">
        <v>910</v>
      </c>
      <c r="C1498" t="s">
        <v>935</v>
      </c>
      <c r="D1498" s="2">
        <v>726904</v>
      </c>
      <c r="E1498" t="s">
        <v>13</v>
      </c>
      <c r="F1498">
        <v>43.238900000000001</v>
      </c>
      <c r="G1498">
        <v>-123.35469999999999</v>
      </c>
      <c r="H1498">
        <v>-8</v>
      </c>
      <c r="I1498">
        <v>160</v>
      </c>
      <c r="J1498" t="str">
        <f>HYPERLINK("https://climate.onebuilding.org/WMO_Region_4_North_and_Central_America/USA_United_States_of_America/OR_Oregon/USA_OR_Roseburg.Rgnl.AP-Carl.Meml.Field.726904_US.Normals.2006-2020.zip")</f>
        <v>https://climate.onebuilding.org/WMO_Region_4_North_and_Central_America/USA_United_States_of_America/OR_Oregon/USA_OR_Roseburg.Rgnl.AP-Carl.Meml.Field.726904_US.Normals.2006-2020.zip</v>
      </c>
    </row>
    <row r="1499" spans="1:10" x14ac:dyDescent="0.25">
      <c r="A1499" t="s">
        <v>35</v>
      </c>
      <c r="B1499" t="s">
        <v>910</v>
      </c>
      <c r="C1499" t="s">
        <v>936</v>
      </c>
      <c r="D1499" s="2">
        <v>726940</v>
      </c>
      <c r="E1499" t="s">
        <v>13</v>
      </c>
      <c r="F1499">
        <v>44.905000000000001</v>
      </c>
      <c r="G1499">
        <v>-123.00109999999999</v>
      </c>
      <c r="H1499">
        <v>-8</v>
      </c>
      <c r="I1499">
        <v>62.5</v>
      </c>
      <c r="J1499" t="str">
        <f>HYPERLINK("https://climate.onebuilding.org/WMO_Region_4_North_and_Central_America/USA_United_States_of_America/OR_Oregon/USA_OR_Salem.Muni.AP-McNary.Field.726940_US.Normals.1981-2010.zip")</f>
        <v>https://climate.onebuilding.org/WMO_Region_4_North_and_Central_America/USA_United_States_of_America/OR_Oregon/USA_OR_Salem.Muni.AP-McNary.Field.726940_US.Normals.1981-2010.zip</v>
      </c>
    </row>
    <row r="1500" spans="1:10" x14ac:dyDescent="0.25">
      <c r="A1500" t="s">
        <v>35</v>
      </c>
      <c r="B1500" t="s">
        <v>910</v>
      </c>
      <c r="C1500" t="s">
        <v>936</v>
      </c>
      <c r="D1500" s="2">
        <v>726940</v>
      </c>
      <c r="E1500" t="s">
        <v>13</v>
      </c>
      <c r="F1500">
        <v>44.905000000000001</v>
      </c>
      <c r="G1500">
        <v>-123.00109999999999</v>
      </c>
      <c r="H1500">
        <v>-8</v>
      </c>
      <c r="I1500">
        <v>62.5</v>
      </c>
      <c r="J1500" t="str">
        <f>HYPERLINK("https://climate.onebuilding.org/WMO_Region_4_North_and_Central_America/USA_United_States_of_America/OR_Oregon/USA_OR_Salem.Muni.AP-McNary.Field.726940_US.Normals.1991-2020.zip")</f>
        <v>https://climate.onebuilding.org/WMO_Region_4_North_and_Central_America/USA_United_States_of_America/OR_Oregon/USA_OR_Salem.Muni.AP-McNary.Field.726940_US.Normals.1991-2020.zip</v>
      </c>
    </row>
    <row r="1501" spans="1:10" x14ac:dyDescent="0.25">
      <c r="A1501" t="s">
        <v>35</v>
      </c>
      <c r="B1501" t="s">
        <v>910</v>
      </c>
      <c r="C1501" t="s">
        <v>936</v>
      </c>
      <c r="D1501" s="2">
        <v>726940</v>
      </c>
      <c r="E1501" t="s">
        <v>13</v>
      </c>
      <c r="F1501">
        <v>44.905000000000001</v>
      </c>
      <c r="G1501">
        <v>-123.00109999999999</v>
      </c>
      <c r="H1501">
        <v>-8</v>
      </c>
      <c r="I1501">
        <v>62.5</v>
      </c>
      <c r="J1501" t="str">
        <f>HYPERLINK("https://climate.onebuilding.org/WMO_Region_4_North_and_Central_America/USA_United_States_of_America/OR_Oregon/USA_OR_Salem.Muni.AP-McNary.Field.726940_US.Normals.2006-2020.zip")</f>
        <v>https://climate.onebuilding.org/WMO_Region_4_North_and_Central_America/USA_United_States_of_America/OR_Oregon/USA_OR_Salem.Muni.AP-McNary.Field.726940_US.Normals.2006-2020.zip</v>
      </c>
    </row>
    <row r="1502" spans="1:10" x14ac:dyDescent="0.25">
      <c r="A1502" t="s">
        <v>35</v>
      </c>
      <c r="B1502" t="s">
        <v>910</v>
      </c>
      <c r="C1502" t="s">
        <v>937</v>
      </c>
      <c r="D1502" s="2">
        <v>726836</v>
      </c>
      <c r="E1502" t="s">
        <v>13</v>
      </c>
      <c r="F1502">
        <v>45.772799999999997</v>
      </c>
      <c r="G1502">
        <v>-122.86109999999999</v>
      </c>
      <c r="H1502">
        <v>-8</v>
      </c>
      <c r="I1502">
        <v>16.8</v>
      </c>
      <c r="J1502" t="str">
        <f>HYPERLINK("https://climate.onebuilding.org/WMO_Region_4_North_and_Central_America/USA_United_States_of_America/OR_Oregon/USA_OR_Scappoose.Indl.AF.726836_US.Normals.2006-2020.zip")</f>
        <v>https://climate.onebuilding.org/WMO_Region_4_North_and_Central_America/USA_United_States_of_America/OR_Oregon/USA_OR_Scappoose.Indl.AF.726836_US.Normals.2006-2020.zip</v>
      </c>
    </row>
    <row r="1503" spans="1:10" x14ac:dyDescent="0.25">
      <c r="A1503" t="s">
        <v>35</v>
      </c>
      <c r="B1503" t="s">
        <v>938</v>
      </c>
      <c r="C1503" t="s">
        <v>939</v>
      </c>
      <c r="D1503" s="2">
        <v>725170</v>
      </c>
      <c r="E1503" t="s">
        <v>13</v>
      </c>
      <c r="F1503">
        <v>40.650799999999997</v>
      </c>
      <c r="G1503">
        <v>-75.449200000000005</v>
      </c>
      <c r="H1503">
        <v>-5</v>
      </c>
      <c r="I1503">
        <v>118.9</v>
      </c>
      <c r="J1503" t="str">
        <f>HYPERLINK("https://climate.onebuilding.org/WMO_Region_4_North_and_Central_America/USA_United_States_of_America/PA_Pennsylvania/USA_PA_Allentown-Lehigh.Valley.Intl.AP.725170_US.Normals.1981-2010.zip")</f>
        <v>https://climate.onebuilding.org/WMO_Region_4_North_and_Central_America/USA_United_States_of_America/PA_Pennsylvania/USA_PA_Allentown-Lehigh.Valley.Intl.AP.725170_US.Normals.1981-2010.zip</v>
      </c>
    </row>
    <row r="1504" spans="1:10" x14ac:dyDescent="0.25">
      <c r="A1504" t="s">
        <v>35</v>
      </c>
      <c r="B1504" t="s">
        <v>938</v>
      </c>
      <c r="C1504" t="s">
        <v>939</v>
      </c>
      <c r="D1504" s="2">
        <v>725170</v>
      </c>
      <c r="E1504" t="s">
        <v>13</v>
      </c>
      <c r="F1504">
        <v>40.650799999999997</v>
      </c>
      <c r="G1504">
        <v>-75.449200000000005</v>
      </c>
      <c r="H1504">
        <v>-5</v>
      </c>
      <c r="I1504">
        <v>118.9</v>
      </c>
      <c r="J1504" t="str">
        <f>HYPERLINK("https://climate.onebuilding.org/WMO_Region_4_North_and_Central_America/USA_United_States_of_America/PA_Pennsylvania/USA_PA_Allentown-Lehigh.Valley.Intl.AP.725170_US.Normals.1991-2020.zip")</f>
        <v>https://climate.onebuilding.org/WMO_Region_4_North_and_Central_America/USA_United_States_of_America/PA_Pennsylvania/USA_PA_Allentown-Lehigh.Valley.Intl.AP.725170_US.Normals.1991-2020.zip</v>
      </c>
    </row>
    <row r="1505" spans="1:10" x14ac:dyDescent="0.25">
      <c r="A1505" t="s">
        <v>35</v>
      </c>
      <c r="B1505" t="s">
        <v>938</v>
      </c>
      <c r="C1505" t="s">
        <v>939</v>
      </c>
      <c r="D1505" s="2">
        <v>725170</v>
      </c>
      <c r="E1505" t="s">
        <v>13</v>
      </c>
      <c r="F1505">
        <v>40.650799999999997</v>
      </c>
      <c r="G1505">
        <v>-75.449200000000005</v>
      </c>
      <c r="H1505">
        <v>-5</v>
      </c>
      <c r="I1505">
        <v>118.9</v>
      </c>
      <c r="J1505" t="str">
        <f>HYPERLINK("https://climate.onebuilding.org/WMO_Region_4_North_and_Central_America/USA_United_States_of_America/PA_Pennsylvania/USA_PA_Allentown-Lehigh.Valley.Intl.AP.725170_US.Normals.2006-2020.zip")</f>
        <v>https://climate.onebuilding.org/WMO_Region_4_North_and_Central_America/USA_United_States_of_America/PA_Pennsylvania/USA_PA_Allentown-Lehigh.Valley.Intl.AP.725170_US.Normals.2006-2020.zip</v>
      </c>
    </row>
    <row r="1506" spans="1:10" x14ac:dyDescent="0.25">
      <c r="A1506" t="s">
        <v>35</v>
      </c>
      <c r="B1506" t="s">
        <v>938</v>
      </c>
      <c r="C1506" t="s">
        <v>940</v>
      </c>
      <c r="D1506" s="2">
        <v>725266</v>
      </c>
      <c r="E1506" t="s">
        <v>13</v>
      </c>
      <c r="F1506">
        <v>41.803100000000001</v>
      </c>
      <c r="G1506">
        <v>-78.640299999999996</v>
      </c>
      <c r="H1506">
        <v>-5</v>
      </c>
      <c r="I1506">
        <v>645.29999999999995</v>
      </c>
      <c r="J1506" t="str">
        <f>HYPERLINK("https://climate.onebuilding.org/WMO_Region_4_North_and_Central_America/USA_United_States_of_America/PA_Pennsylvania/USA_PA_Bradford.Rgnl.AP.725266_US.Normals.1981-2010.zip")</f>
        <v>https://climate.onebuilding.org/WMO_Region_4_North_and_Central_America/USA_United_States_of_America/PA_Pennsylvania/USA_PA_Bradford.Rgnl.AP.725266_US.Normals.1981-2010.zip</v>
      </c>
    </row>
    <row r="1507" spans="1:10" x14ac:dyDescent="0.25">
      <c r="A1507" t="s">
        <v>35</v>
      </c>
      <c r="B1507" t="s">
        <v>938</v>
      </c>
      <c r="C1507" t="s">
        <v>940</v>
      </c>
      <c r="D1507" s="2">
        <v>725266</v>
      </c>
      <c r="E1507" t="s">
        <v>13</v>
      </c>
      <c r="F1507">
        <v>41.803100000000001</v>
      </c>
      <c r="G1507">
        <v>-78.640299999999996</v>
      </c>
      <c r="H1507">
        <v>-5</v>
      </c>
      <c r="I1507">
        <v>645.29999999999995</v>
      </c>
      <c r="J1507" t="str">
        <f>HYPERLINK("https://climate.onebuilding.org/WMO_Region_4_North_and_Central_America/USA_United_States_of_America/PA_Pennsylvania/USA_PA_Bradford.Rgnl.AP.725266_US.Normals.1991-2020.zip")</f>
        <v>https://climate.onebuilding.org/WMO_Region_4_North_and_Central_America/USA_United_States_of_America/PA_Pennsylvania/USA_PA_Bradford.Rgnl.AP.725266_US.Normals.1991-2020.zip</v>
      </c>
    </row>
    <row r="1508" spans="1:10" x14ac:dyDescent="0.25">
      <c r="A1508" t="s">
        <v>35</v>
      </c>
      <c r="B1508" t="s">
        <v>938</v>
      </c>
      <c r="C1508" t="s">
        <v>940</v>
      </c>
      <c r="D1508" s="2">
        <v>725266</v>
      </c>
      <c r="E1508" t="s">
        <v>13</v>
      </c>
      <c r="F1508">
        <v>41.803100000000001</v>
      </c>
      <c r="G1508">
        <v>-78.640299999999996</v>
      </c>
      <c r="H1508">
        <v>-5</v>
      </c>
      <c r="I1508">
        <v>645.29999999999995</v>
      </c>
      <c r="J1508" t="str">
        <f>HYPERLINK("https://climate.onebuilding.org/WMO_Region_4_North_and_Central_America/USA_United_States_of_America/PA_Pennsylvania/USA_PA_Bradford.Rgnl.AP.725266_US.Normals.2006-2020.zip")</f>
        <v>https://climate.onebuilding.org/WMO_Region_4_North_and_Central_America/USA_United_States_of_America/PA_Pennsylvania/USA_PA_Bradford.Rgnl.AP.725266_US.Normals.2006-2020.zip</v>
      </c>
    </row>
    <row r="1509" spans="1:10" x14ac:dyDescent="0.25">
      <c r="A1509" t="s">
        <v>35</v>
      </c>
      <c r="B1509" t="s">
        <v>938</v>
      </c>
      <c r="C1509" t="s">
        <v>941</v>
      </c>
      <c r="D1509" s="2">
        <v>725119</v>
      </c>
      <c r="E1509" t="s">
        <v>13</v>
      </c>
      <c r="F1509">
        <v>41.046700000000001</v>
      </c>
      <c r="G1509">
        <v>-78.411699999999996</v>
      </c>
      <c r="H1509">
        <v>-5</v>
      </c>
      <c r="I1509">
        <v>462.1</v>
      </c>
      <c r="J1509" t="str">
        <f>HYPERLINK("https://climate.onebuilding.org/WMO_Region_4_North_and_Central_America/USA_United_States_of_America/PA_Pennsylvania/USA_PA_Clearfield-Lawrence.Township.AP.725119_US.Normals.2006-2020.zip")</f>
        <v>https://climate.onebuilding.org/WMO_Region_4_North_and_Central_America/USA_United_States_of_America/PA_Pennsylvania/USA_PA_Clearfield-Lawrence.Township.AP.725119_US.Normals.2006-2020.zip</v>
      </c>
    </row>
    <row r="1510" spans="1:10" x14ac:dyDescent="0.25">
      <c r="A1510" t="s">
        <v>35</v>
      </c>
      <c r="B1510" t="s">
        <v>938</v>
      </c>
      <c r="C1510" t="s">
        <v>942</v>
      </c>
      <c r="D1510" s="2">
        <v>725113</v>
      </c>
      <c r="E1510" t="s">
        <v>13</v>
      </c>
      <c r="F1510">
        <v>40.33</v>
      </c>
      <c r="G1510">
        <v>-75.122500000000002</v>
      </c>
      <c r="H1510">
        <v>-5</v>
      </c>
      <c r="I1510">
        <v>120.1</v>
      </c>
      <c r="J1510" t="str">
        <f>HYPERLINK("https://climate.onebuilding.org/WMO_Region_4_North_and_Central_America/USA_United_States_of_America/PA_Pennsylvania/USA_PA_Doylestown.AP.725113_US.Normals.2006-2020.zip")</f>
        <v>https://climate.onebuilding.org/WMO_Region_4_North_and_Central_America/USA_United_States_of_America/PA_Pennsylvania/USA_PA_Doylestown.AP.725113_US.Normals.2006-2020.zip</v>
      </c>
    </row>
    <row r="1511" spans="1:10" x14ac:dyDescent="0.25">
      <c r="A1511" t="s">
        <v>35</v>
      </c>
      <c r="B1511" t="s">
        <v>938</v>
      </c>
      <c r="C1511" t="s">
        <v>943</v>
      </c>
      <c r="D1511" s="2">
        <v>725260</v>
      </c>
      <c r="E1511" t="s">
        <v>13</v>
      </c>
      <c r="F1511">
        <v>42.08</v>
      </c>
      <c r="G1511">
        <v>-80.182500000000005</v>
      </c>
      <c r="H1511">
        <v>-5</v>
      </c>
      <c r="I1511">
        <v>222.5</v>
      </c>
      <c r="J1511" t="str">
        <f>HYPERLINK("https://climate.onebuilding.org/WMO_Region_4_North_and_Central_America/USA_United_States_of_America/PA_Pennsylvania/USA_PA_Erie.Intl.AP-Ridge.Field.725260_US.Normals.1981-2010.zip")</f>
        <v>https://climate.onebuilding.org/WMO_Region_4_North_and_Central_America/USA_United_States_of_America/PA_Pennsylvania/USA_PA_Erie.Intl.AP-Ridge.Field.725260_US.Normals.1981-2010.zip</v>
      </c>
    </row>
    <row r="1512" spans="1:10" x14ac:dyDescent="0.25">
      <c r="A1512" t="s">
        <v>35</v>
      </c>
      <c r="B1512" t="s">
        <v>938</v>
      </c>
      <c r="C1512" t="s">
        <v>943</v>
      </c>
      <c r="D1512" s="2">
        <v>725260</v>
      </c>
      <c r="E1512" t="s">
        <v>13</v>
      </c>
      <c r="F1512">
        <v>42.08</v>
      </c>
      <c r="G1512">
        <v>-80.182500000000005</v>
      </c>
      <c r="H1512">
        <v>-5</v>
      </c>
      <c r="I1512">
        <v>222.5</v>
      </c>
      <c r="J1512" t="str">
        <f>HYPERLINK("https://climate.onebuilding.org/WMO_Region_4_North_and_Central_America/USA_United_States_of_America/PA_Pennsylvania/USA_PA_Erie.Intl.AP-Ridge.Field.725260_US.Normals.1991-2020.zip")</f>
        <v>https://climate.onebuilding.org/WMO_Region_4_North_and_Central_America/USA_United_States_of_America/PA_Pennsylvania/USA_PA_Erie.Intl.AP-Ridge.Field.725260_US.Normals.1991-2020.zip</v>
      </c>
    </row>
    <row r="1513" spans="1:10" x14ac:dyDescent="0.25">
      <c r="A1513" t="s">
        <v>35</v>
      </c>
      <c r="B1513" t="s">
        <v>938</v>
      </c>
      <c r="C1513" t="s">
        <v>943</v>
      </c>
      <c r="D1513" s="2">
        <v>725260</v>
      </c>
      <c r="E1513" t="s">
        <v>13</v>
      </c>
      <c r="F1513">
        <v>42.08</v>
      </c>
      <c r="G1513">
        <v>-80.182500000000005</v>
      </c>
      <c r="H1513">
        <v>-5</v>
      </c>
      <c r="I1513">
        <v>222.5</v>
      </c>
      <c r="J1513" t="str">
        <f>HYPERLINK("https://climate.onebuilding.org/WMO_Region_4_North_and_Central_America/USA_United_States_of_America/PA_Pennsylvania/USA_PA_Erie.Intl.AP-Ridge.Field.725260_US.Normals.2006-2020.zip")</f>
        <v>https://climate.onebuilding.org/WMO_Region_4_North_and_Central_America/USA_United_States_of_America/PA_Pennsylvania/USA_PA_Erie.Intl.AP-Ridge.Field.725260_US.Normals.2006-2020.zip</v>
      </c>
    </row>
    <row r="1514" spans="1:10" x14ac:dyDescent="0.25">
      <c r="A1514" t="s">
        <v>35</v>
      </c>
      <c r="B1514" t="s">
        <v>938</v>
      </c>
      <c r="C1514" t="s">
        <v>944</v>
      </c>
      <c r="D1514" s="2">
        <v>725118</v>
      </c>
      <c r="E1514" t="s">
        <v>13</v>
      </c>
      <c r="F1514">
        <v>40.217199999999998</v>
      </c>
      <c r="G1514">
        <v>-76.851399999999998</v>
      </c>
      <c r="H1514">
        <v>-5</v>
      </c>
      <c r="I1514">
        <v>103.6</v>
      </c>
      <c r="J1514" t="str">
        <f>HYPERLINK("https://climate.onebuilding.org/WMO_Region_4_North_and_Central_America/USA_United_States_of_America/PA_Pennsylvania/USA_PA_Harrisburg-Capital.City.AP.725118_US.Normals.2006-2020.zip")</f>
        <v>https://climate.onebuilding.org/WMO_Region_4_North_and_Central_America/USA_United_States_of_America/PA_Pennsylvania/USA_PA_Harrisburg-Capital.City.AP.725118_US.Normals.2006-2020.zip</v>
      </c>
    </row>
    <row r="1515" spans="1:10" x14ac:dyDescent="0.25">
      <c r="A1515" t="s">
        <v>35</v>
      </c>
      <c r="B1515" t="s">
        <v>938</v>
      </c>
      <c r="C1515" t="s">
        <v>945</v>
      </c>
      <c r="D1515" s="2">
        <v>723990</v>
      </c>
      <c r="E1515" t="s">
        <v>13</v>
      </c>
      <c r="F1515">
        <v>40.193600000000004</v>
      </c>
      <c r="G1515">
        <v>-76.763300000000001</v>
      </c>
      <c r="H1515">
        <v>-5</v>
      </c>
      <c r="I1515">
        <v>95.1</v>
      </c>
      <c r="J1515" t="str">
        <f>HYPERLINK("https://climate.onebuilding.org/WMO_Region_4_North_and_Central_America/USA_United_States_of_America/PA_Pennsylvania/USA_PA_Harrisburg.Intl.AP.723990_US.Normals.1981-2010.zip")</f>
        <v>https://climate.onebuilding.org/WMO_Region_4_North_and_Central_America/USA_United_States_of_America/PA_Pennsylvania/USA_PA_Harrisburg.Intl.AP.723990_US.Normals.1981-2010.zip</v>
      </c>
    </row>
    <row r="1516" spans="1:10" x14ac:dyDescent="0.25">
      <c r="A1516" t="s">
        <v>35</v>
      </c>
      <c r="B1516" t="s">
        <v>938</v>
      </c>
      <c r="C1516" t="s">
        <v>945</v>
      </c>
      <c r="D1516" s="2">
        <v>723990</v>
      </c>
      <c r="E1516" t="s">
        <v>13</v>
      </c>
      <c r="F1516">
        <v>40.193600000000004</v>
      </c>
      <c r="G1516">
        <v>-76.763300000000001</v>
      </c>
      <c r="H1516">
        <v>-5</v>
      </c>
      <c r="I1516">
        <v>95.1</v>
      </c>
      <c r="J1516" t="str">
        <f>HYPERLINK("https://climate.onebuilding.org/WMO_Region_4_North_and_Central_America/USA_United_States_of_America/PA_Pennsylvania/USA_PA_Harrisburg.Intl.AP.723990_US.Normals.2006-2020.zip")</f>
        <v>https://climate.onebuilding.org/WMO_Region_4_North_and_Central_America/USA_United_States_of_America/PA_Pennsylvania/USA_PA_Harrisburg.Intl.AP.723990_US.Normals.2006-2020.zip</v>
      </c>
    </row>
    <row r="1517" spans="1:10" x14ac:dyDescent="0.25">
      <c r="A1517" t="s">
        <v>35</v>
      </c>
      <c r="B1517" t="s">
        <v>938</v>
      </c>
      <c r="C1517" t="s">
        <v>946</v>
      </c>
      <c r="D1517" s="2">
        <v>725127</v>
      </c>
      <c r="E1517" t="s">
        <v>13</v>
      </c>
      <c r="F1517">
        <v>40.316099999999999</v>
      </c>
      <c r="G1517">
        <v>-78.8339</v>
      </c>
      <c r="H1517">
        <v>-5</v>
      </c>
      <c r="I1517">
        <v>696.2</v>
      </c>
      <c r="J1517" t="str">
        <f>HYPERLINK("https://climate.onebuilding.org/WMO_Region_4_North_and_Central_America/USA_United_States_of_America/PA_Pennsylvania/USA_PA_Johnstown-Cambria.County.AP.725127_US.Normals.1991-2020.zip")</f>
        <v>https://climate.onebuilding.org/WMO_Region_4_North_and_Central_America/USA_United_States_of_America/PA_Pennsylvania/USA_PA_Johnstown-Cambria.County.AP.725127_US.Normals.1991-2020.zip</v>
      </c>
    </row>
    <row r="1518" spans="1:10" x14ac:dyDescent="0.25">
      <c r="A1518" t="s">
        <v>35</v>
      </c>
      <c r="B1518" t="s">
        <v>938</v>
      </c>
      <c r="C1518" t="s">
        <v>946</v>
      </c>
      <c r="D1518" s="2">
        <v>725127</v>
      </c>
      <c r="E1518" t="s">
        <v>13</v>
      </c>
      <c r="F1518">
        <v>40.316099999999999</v>
      </c>
      <c r="G1518">
        <v>-78.8339</v>
      </c>
      <c r="H1518">
        <v>-5</v>
      </c>
      <c r="I1518">
        <v>696.2</v>
      </c>
      <c r="J1518" t="str">
        <f>HYPERLINK("https://climate.onebuilding.org/WMO_Region_4_North_and_Central_America/USA_United_States_of_America/PA_Pennsylvania/USA_PA_Johnstown-Cambria.County.AP.725127_US.Normals.2006-2020.zip")</f>
        <v>https://climate.onebuilding.org/WMO_Region_4_North_and_Central_America/USA_United_States_of_America/PA_Pennsylvania/USA_PA_Johnstown-Cambria.County.AP.725127_US.Normals.2006-2020.zip</v>
      </c>
    </row>
    <row r="1519" spans="1:10" x14ac:dyDescent="0.25">
      <c r="A1519" t="s">
        <v>35</v>
      </c>
      <c r="B1519" t="s">
        <v>938</v>
      </c>
      <c r="C1519" t="s">
        <v>947</v>
      </c>
      <c r="D1519" s="2">
        <v>725116</v>
      </c>
      <c r="E1519" t="s">
        <v>13</v>
      </c>
      <c r="F1519">
        <v>40.1203</v>
      </c>
      <c r="G1519">
        <v>-76.294399999999996</v>
      </c>
      <c r="H1519">
        <v>-5</v>
      </c>
      <c r="I1519">
        <v>122.8</v>
      </c>
      <c r="J1519" t="str">
        <f>HYPERLINK("https://climate.onebuilding.org/WMO_Region_4_North_and_Central_America/USA_United_States_of_America/PA_Pennsylvania/USA_PA_Lancaster.AP.725116_US.Normals.2006-2020.zip")</f>
        <v>https://climate.onebuilding.org/WMO_Region_4_North_and_Central_America/USA_United_States_of_America/PA_Pennsylvania/USA_PA_Lancaster.AP.725116_US.Normals.2006-2020.zip</v>
      </c>
    </row>
    <row r="1520" spans="1:10" x14ac:dyDescent="0.25">
      <c r="A1520" t="s">
        <v>35</v>
      </c>
      <c r="B1520" t="s">
        <v>938</v>
      </c>
      <c r="C1520" t="s">
        <v>948</v>
      </c>
      <c r="D1520" s="2">
        <v>725126</v>
      </c>
      <c r="E1520" t="s">
        <v>13</v>
      </c>
      <c r="F1520">
        <v>40.296399999999998</v>
      </c>
      <c r="G1520">
        <v>-78.320300000000003</v>
      </c>
      <c r="H1520">
        <v>-5</v>
      </c>
      <c r="I1520">
        <v>451.1</v>
      </c>
      <c r="J1520" t="str">
        <f>HYPERLINK("https://climate.onebuilding.org/WMO_Region_4_North_and_Central_America/USA_United_States_of_America/PA_Pennsylvania/USA_PA_Martinsburg-Altoona-Blair.County.AP.725126_US.Normals.1981-2010.zip")</f>
        <v>https://climate.onebuilding.org/WMO_Region_4_North_and_Central_America/USA_United_States_of_America/PA_Pennsylvania/USA_PA_Martinsburg-Altoona-Blair.County.AP.725126_US.Normals.1981-2010.zip</v>
      </c>
    </row>
    <row r="1521" spans="1:10" x14ac:dyDescent="0.25">
      <c r="A1521" t="s">
        <v>35</v>
      </c>
      <c r="B1521" t="s">
        <v>938</v>
      </c>
      <c r="C1521" t="s">
        <v>948</v>
      </c>
      <c r="D1521" s="2">
        <v>725126</v>
      </c>
      <c r="E1521" t="s">
        <v>13</v>
      </c>
      <c r="F1521">
        <v>40.296399999999998</v>
      </c>
      <c r="G1521">
        <v>-78.320300000000003</v>
      </c>
      <c r="H1521">
        <v>-5</v>
      </c>
      <c r="I1521">
        <v>451.1</v>
      </c>
      <c r="J1521" t="str">
        <f>HYPERLINK("https://climate.onebuilding.org/WMO_Region_4_North_and_Central_America/USA_United_States_of_America/PA_Pennsylvania/USA_PA_Martinsburg-Altoona-Blair.County.AP.725126_US.Normals.1991-2020.zip")</f>
        <v>https://climate.onebuilding.org/WMO_Region_4_North_and_Central_America/USA_United_States_of_America/PA_Pennsylvania/USA_PA_Martinsburg-Altoona-Blair.County.AP.725126_US.Normals.1991-2020.zip</v>
      </c>
    </row>
    <row r="1522" spans="1:10" x14ac:dyDescent="0.25">
      <c r="A1522" t="s">
        <v>35</v>
      </c>
      <c r="B1522" t="s">
        <v>938</v>
      </c>
      <c r="C1522" t="s">
        <v>948</v>
      </c>
      <c r="D1522" s="2">
        <v>725126</v>
      </c>
      <c r="E1522" t="s">
        <v>13</v>
      </c>
      <c r="F1522">
        <v>40.296399999999998</v>
      </c>
      <c r="G1522">
        <v>-78.320300000000003</v>
      </c>
      <c r="H1522">
        <v>-5</v>
      </c>
      <c r="I1522">
        <v>451.1</v>
      </c>
      <c r="J1522" t="str">
        <f>HYPERLINK("https://climate.onebuilding.org/WMO_Region_4_North_and_Central_America/USA_United_States_of_America/PA_Pennsylvania/USA_PA_Martinsburg-Altoona-Blair.County.AP.725126_US.Normals.2006-2020.zip")</f>
        <v>https://climate.onebuilding.org/WMO_Region_4_North_and_Central_America/USA_United_States_of_America/PA_Pennsylvania/USA_PA_Martinsburg-Altoona-Blair.County.AP.725126_US.Normals.2006-2020.zip</v>
      </c>
    </row>
    <row r="1523" spans="1:10" x14ac:dyDescent="0.25">
      <c r="A1523" t="s">
        <v>35</v>
      </c>
      <c r="B1523" t="s">
        <v>938</v>
      </c>
      <c r="C1523" t="s">
        <v>949</v>
      </c>
      <c r="D1523" s="2">
        <v>724085</v>
      </c>
      <c r="E1523" t="s">
        <v>13</v>
      </c>
      <c r="F1523">
        <v>40.081899999999997</v>
      </c>
      <c r="G1523">
        <v>-75.011099999999999</v>
      </c>
      <c r="H1523">
        <v>-5</v>
      </c>
      <c r="I1523">
        <v>30.5</v>
      </c>
      <c r="J1523" t="str">
        <f>HYPERLINK("https://climate.onebuilding.org/WMO_Region_4_North_and_Central_America/USA_United_States_of_America/PA_Pennsylvania/USA_PA_Philadelphia-Northeast.Philadelphia.AP.724085_US.Normals.1981-2010.zip")</f>
        <v>https://climate.onebuilding.org/WMO_Region_4_North_and_Central_America/USA_United_States_of_America/PA_Pennsylvania/USA_PA_Philadelphia-Northeast.Philadelphia.AP.724085_US.Normals.1981-2010.zip</v>
      </c>
    </row>
    <row r="1524" spans="1:10" x14ac:dyDescent="0.25">
      <c r="A1524" t="s">
        <v>35</v>
      </c>
      <c r="B1524" t="s">
        <v>938</v>
      </c>
      <c r="C1524" t="s">
        <v>949</v>
      </c>
      <c r="D1524" s="2">
        <v>724085</v>
      </c>
      <c r="E1524" t="s">
        <v>13</v>
      </c>
      <c r="F1524">
        <v>40.081899999999997</v>
      </c>
      <c r="G1524">
        <v>-75.011099999999999</v>
      </c>
      <c r="H1524">
        <v>-5</v>
      </c>
      <c r="I1524">
        <v>30.5</v>
      </c>
      <c r="J1524" t="str">
        <f>HYPERLINK("https://climate.onebuilding.org/WMO_Region_4_North_and_Central_America/USA_United_States_of_America/PA_Pennsylvania/USA_PA_Philadelphia-Northeast.Philadelphia.AP.724085_US.Normals.1991-2020.zip")</f>
        <v>https://climate.onebuilding.org/WMO_Region_4_North_and_Central_America/USA_United_States_of_America/PA_Pennsylvania/USA_PA_Philadelphia-Northeast.Philadelphia.AP.724085_US.Normals.1991-2020.zip</v>
      </c>
    </row>
    <row r="1525" spans="1:10" x14ac:dyDescent="0.25">
      <c r="A1525" t="s">
        <v>35</v>
      </c>
      <c r="B1525" t="s">
        <v>938</v>
      </c>
      <c r="C1525" t="s">
        <v>949</v>
      </c>
      <c r="D1525" s="2">
        <v>724085</v>
      </c>
      <c r="E1525" t="s">
        <v>13</v>
      </c>
      <c r="F1525">
        <v>40.081899999999997</v>
      </c>
      <c r="G1525">
        <v>-75.011099999999999</v>
      </c>
      <c r="H1525">
        <v>-5</v>
      </c>
      <c r="I1525">
        <v>30.5</v>
      </c>
      <c r="J1525" t="str">
        <f>HYPERLINK("https://climate.onebuilding.org/WMO_Region_4_North_and_Central_America/USA_United_States_of_America/PA_Pennsylvania/USA_PA_Philadelphia-Northeast.Philadelphia.AP.724085_US.Normals.2006-2020.zip")</f>
        <v>https://climate.onebuilding.org/WMO_Region_4_North_and_Central_America/USA_United_States_of_America/PA_Pennsylvania/USA_PA_Philadelphia-Northeast.Philadelphia.AP.724085_US.Normals.2006-2020.zip</v>
      </c>
    </row>
    <row r="1526" spans="1:10" x14ac:dyDescent="0.25">
      <c r="A1526" t="s">
        <v>35</v>
      </c>
      <c r="B1526" t="s">
        <v>938</v>
      </c>
      <c r="C1526" t="s">
        <v>950</v>
      </c>
      <c r="D1526" s="2">
        <v>724080</v>
      </c>
      <c r="E1526" t="s">
        <v>13</v>
      </c>
      <c r="F1526">
        <v>39.868299999999998</v>
      </c>
      <c r="G1526">
        <v>-75.231099999999998</v>
      </c>
      <c r="H1526">
        <v>-5</v>
      </c>
      <c r="I1526">
        <v>3</v>
      </c>
      <c r="J1526" t="str">
        <f>HYPERLINK("https://climate.onebuilding.org/WMO_Region_4_North_and_Central_America/USA_United_States_of_America/PA_Pennsylvania/USA_PA_Philadelphia.Intl.AP.724080_US.Normals.1981-2010.zip")</f>
        <v>https://climate.onebuilding.org/WMO_Region_4_North_and_Central_America/USA_United_States_of_America/PA_Pennsylvania/USA_PA_Philadelphia.Intl.AP.724080_US.Normals.1981-2010.zip</v>
      </c>
    </row>
    <row r="1527" spans="1:10" x14ac:dyDescent="0.25">
      <c r="A1527" t="s">
        <v>35</v>
      </c>
      <c r="B1527" t="s">
        <v>938</v>
      </c>
      <c r="C1527" t="s">
        <v>950</v>
      </c>
      <c r="D1527" s="2">
        <v>724080</v>
      </c>
      <c r="E1527" t="s">
        <v>13</v>
      </c>
      <c r="F1527">
        <v>39.868299999999998</v>
      </c>
      <c r="G1527">
        <v>-75.231099999999998</v>
      </c>
      <c r="H1527">
        <v>-5</v>
      </c>
      <c r="I1527">
        <v>3</v>
      </c>
      <c r="J1527" t="str">
        <f>HYPERLINK("https://climate.onebuilding.org/WMO_Region_4_North_and_Central_America/USA_United_States_of_America/PA_Pennsylvania/USA_PA_Philadelphia.Intl.AP.724080_US.Normals.1991-2020.zip")</f>
        <v>https://climate.onebuilding.org/WMO_Region_4_North_and_Central_America/USA_United_States_of_America/PA_Pennsylvania/USA_PA_Philadelphia.Intl.AP.724080_US.Normals.1991-2020.zip</v>
      </c>
    </row>
    <row r="1528" spans="1:10" x14ac:dyDescent="0.25">
      <c r="A1528" t="s">
        <v>35</v>
      </c>
      <c r="B1528" t="s">
        <v>938</v>
      </c>
      <c r="C1528" t="s">
        <v>950</v>
      </c>
      <c r="D1528" s="2">
        <v>724080</v>
      </c>
      <c r="E1528" t="s">
        <v>13</v>
      </c>
      <c r="F1528">
        <v>39.868299999999998</v>
      </c>
      <c r="G1528">
        <v>-75.231099999999998</v>
      </c>
      <c r="H1528">
        <v>-5</v>
      </c>
      <c r="I1528">
        <v>3</v>
      </c>
      <c r="J1528" t="str">
        <f>HYPERLINK("https://climate.onebuilding.org/WMO_Region_4_North_and_Central_America/USA_United_States_of_America/PA_Pennsylvania/USA_PA_Philadelphia.Intl.AP.724080_US.Normals.2006-2020.zip")</f>
        <v>https://climate.onebuilding.org/WMO_Region_4_North_and_Central_America/USA_United_States_of_America/PA_Pennsylvania/USA_PA_Philadelphia.Intl.AP.724080_US.Normals.2006-2020.zip</v>
      </c>
    </row>
    <row r="1529" spans="1:10" x14ac:dyDescent="0.25">
      <c r="A1529" t="s">
        <v>35</v>
      </c>
      <c r="B1529" t="s">
        <v>938</v>
      </c>
      <c r="C1529" t="s">
        <v>951</v>
      </c>
      <c r="D1529" s="2">
        <v>725205</v>
      </c>
      <c r="E1529" t="s">
        <v>13</v>
      </c>
      <c r="F1529">
        <v>40.354700000000001</v>
      </c>
      <c r="G1529">
        <v>-79.921700000000001</v>
      </c>
      <c r="H1529">
        <v>-5</v>
      </c>
      <c r="I1529">
        <v>380.4</v>
      </c>
      <c r="J1529" t="str">
        <f>HYPERLINK("https://climate.onebuilding.org/WMO_Region_4_North_and_Central_America/USA_United_States_of_America/PA_Pennsylvania/USA_PA_Pittsburgh-Allegheny.County.AP.725205_US.Normals.1981-2010.zip")</f>
        <v>https://climate.onebuilding.org/WMO_Region_4_North_and_Central_America/USA_United_States_of_America/PA_Pennsylvania/USA_PA_Pittsburgh-Allegheny.County.AP.725205_US.Normals.1981-2010.zip</v>
      </c>
    </row>
    <row r="1530" spans="1:10" x14ac:dyDescent="0.25">
      <c r="A1530" t="s">
        <v>35</v>
      </c>
      <c r="B1530" t="s">
        <v>938</v>
      </c>
      <c r="C1530" t="s">
        <v>951</v>
      </c>
      <c r="D1530" s="2">
        <v>725205</v>
      </c>
      <c r="E1530" t="s">
        <v>13</v>
      </c>
      <c r="F1530">
        <v>40.354700000000001</v>
      </c>
      <c r="G1530">
        <v>-79.921700000000001</v>
      </c>
      <c r="H1530">
        <v>-5</v>
      </c>
      <c r="I1530">
        <v>380.4</v>
      </c>
      <c r="J1530" t="str">
        <f>HYPERLINK("https://climate.onebuilding.org/WMO_Region_4_North_and_Central_America/USA_United_States_of_America/PA_Pennsylvania/USA_PA_Pittsburgh-Allegheny.County.AP.725205_US.Normals.1991-2020.zip")</f>
        <v>https://climate.onebuilding.org/WMO_Region_4_North_and_Central_America/USA_United_States_of_America/PA_Pennsylvania/USA_PA_Pittsburgh-Allegheny.County.AP.725205_US.Normals.1991-2020.zip</v>
      </c>
    </row>
    <row r="1531" spans="1:10" x14ac:dyDescent="0.25">
      <c r="A1531" t="s">
        <v>35</v>
      </c>
      <c r="B1531" t="s">
        <v>938</v>
      </c>
      <c r="C1531" t="s">
        <v>951</v>
      </c>
      <c r="D1531" s="2">
        <v>725205</v>
      </c>
      <c r="E1531" t="s">
        <v>13</v>
      </c>
      <c r="F1531">
        <v>40.354700000000001</v>
      </c>
      <c r="G1531">
        <v>-79.921700000000001</v>
      </c>
      <c r="H1531">
        <v>-5</v>
      </c>
      <c r="I1531">
        <v>380.4</v>
      </c>
      <c r="J1531" t="str">
        <f>HYPERLINK("https://climate.onebuilding.org/WMO_Region_4_North_and_Central_America/USA_United_States_of_America/PA_Pennsylvania/USA_PA_Pittsburgh-Allegheny.County.AP.725205_US.Normals.2006-2020.zip")</f>
        <v>https://climate.onebuilding.org/WMO_Region_4_North_and_Central_America/USA_United_States_of_America/PA_Pennsylvania/USA_PA_Pittsburgh-Allegheny.County.AP.725205_US.Normals.2006-2020.zip</v>
      </c>
    </row>
    <row r="1532" spans="1:10" x14ac:dyDescent="0.25">
      <c r="A1532" t="s">
        <v>35</v>
      </c>
      <c r="B1532" t="s">
        <v>938</v>
      </c>
      <c r="C1532" t="s">
        <v>952</v>
      </c>
      <c r="D1532" s="2">
        <v>725200</v>
      </c>
      <c r="E1532" t="s">
        <v>13</v>
      </c>
      <c r="F1532">
        <v>40.484699999999997</v>
      </c>
      <c r="G1532">
        <v>-80.214399999999998</v>
      </c>
      <c r="H1532">
        <v>-5</v>
      </c>
      <c r="I1532">
        <v>366.7</v>
      </c>
      <c r="J1532" t="str">
        <f>HYPERLINK("https://climate.onebuilding.org/WMO_Region_4_North_and_Central_America/USA_United_States_of_America/PA_Pennsylvania/USA_PA_Pittsburgh.Intl.AP.725200_US.Normals.1981-2010.zip")</f>
        <v>https://climate.onebuilding.org/WMO_Region_4_North_and_Central_America/USA_United_States_of_America/PA_Pennsylvania/USA_PA_Pittsburgh.Intl.AP.725200_US.Normals.1981-2010.zip</v>
      </c>
    </row>
    <row r="1533" spans="1:10" x14ac:dyDescent="0.25">
      <c r="A1533" t="s">
        <v>35</v>
      </c>
      <c r="B1533" t="s">
        <v>938</v>
      </c>
      <c r="C1533" t="s">
        <v>952</v>
      </c>
      <c r="D1533" s="2">
        <v>725200</v>
      </c>
      <c r="E1533" t="s">
        <v>13</v>
      </c>
      <c r="F1533">
        <v>40.484699999999997</v>
      </c>
      <c r="G1533">
        <v>-80.214399999999998</v>
      </c>
      <c r="H1533">
        <v>-5</v>
      </c>
      <c r="I1533">
        <v>366.7</v>
      </c>
      <c r="J1533" t="str">
        <f>HYPERLINK("https://climate.onebuilding.org/WMO_Region_4_North_and_Central_America/USA_United_States_of_America/PA_Pennsylvania/USA_PA_Pittsburgh.Intl.AP.725200_US.Normals.1991-2020.zip")</f>
        <v>https://climate.onebuilding.org/WMO_Region_4_North_and_Central_America/USA_United_States_of_America/PA_Pennsylvania/USA_PA_Pittsburgh.Intl.AP.725200_US.Normals.1991-2020.zip</v>
      </c>
    </row>
    <row r="1534" spans="1:10" x14ac:dyDescent="0.25">
      <c r="A1534" t="s">
        <v>35</v>
      </c>
      <c r="B1534" t="s">
        <v>938</v>
      </c>
      <c r="C1534" t="s">
        <v>952</v>
      </c>
      <c r="D1534" s="2">
        <v>725200</v>
      </c>
      <c r="E1534" t="s">
        <v>13</v>
      </c>
      <c r="F1534">
        <v>40.484699999999997</v>
      </c>
      <c r="G1534">
        <v>-80.214399999999998</v>
      </c>
      <c r="H1534">
        <v>-5</v>
      </c>
      <c r="I1534">
        <v>366.7</v>
      </c>
      <c r="J1534" t="str">
        <f>HYPERLINK("https://climate.onebuilding.org/WMO_Region_4_North_and_Central_America/USA_United_States_of_America/PA_Pennsylvania/USA_PA_Pittsburgh.Intl.AP.725200_US.Normals.2006-2020.zip")</f>
        <v>https://climate.onebuilding.org/WMO_Region_4_North_and_Central_America/USA_United_States_of_America/PA_Pennsylvania/USA_PA_Pittsburgh.Intl.AP.725200_US.Normals.2006-2020.zip</v>
      </c>
    </row>
    <row r="1535" spans="1:10" x14ac:dyDescent="0.25">
      <c r="A1535" t="s">
        <v>35</v>
      </c>
      <c r="B1535" t="s">
        <v>938</v>
      </c>
      <c r="C1535" t="s">
        <v>953</v>
      </c>
      <c r="D1535" s="2">
        <v>725434</v>
      </c>
      <c r="E1535" t="s">
        <v>13</v>
      </c>
      <c r="F1535">
        <v>41.1389</v>
      </c>
      <c r="G1535">
        <v>-75.379400000000004</v>
      </c>
      <c r="H1535">
        <v>-5</v>
      </c>
      <c r="I1535">
        <v>584</v>
      </c>
      <c r="J1535" t="str">
        <f>HYPERLINK("https://climate.onebuilding.org/WMO_Region_4_North_and_Central_America/USA_United_States_of_America/PA_Pennsylvania/USA_PA_Pocono.Mountains.Muni.AP.725434_US.Normals.2006-2020.zip")</f>
        <v>https://climate.onebuilding.org/WMO_Region_4_North_and_Central_America/USA_United_States_of_America/PA_Pennsylvania/USA_PA_Pocono.Mountains.Muni.AP.725434_US.Normals.2006-2020.zip</v>
      </c>
    </row>
    <row r="1536" spans="1:10" x14ac:dyDescent="0.25">
      <c r="A1536" t="s">
        <v>35</v>
      </c>
      <c r="B1536" t="s">
        <v>938</v>
      </c>
      <c r="C1536" t="s">
        <v>954</v>
      </c>
      <c r="D1536" s="2">
        <v>725104</v>
      </c>
      <c r="E1536" t="s">
        <v>13</v>
      </c>
      <c r="F1536">
        <v>41.626399999999997</v>
      </c>
      <c r="G1536">
        <v>-80.215000000000003</v>
      </c>
      <c r="H1536">
        <v>-5</v>
      </c>
      <c r="I1536">
        <v>426.7</v>
      </c>
      <c r="J1536" t="str">
        <f>HYPERLINK("https://climate.onebuilding.org/WMO_Region_4_North_and_Central_America/USA_United_States_of_America/PA_Pennsylvania/USA_PA_Port.Meadville.AP.725104_US.Normals.2006-2020.zip")</f>
        <v>https://climate.onebuilding.org/WMO_Region_4_North_and_Central_America/USA_United_States_of_America/PA_Pennsylvania/USA_PA_Port.Meadville.AP.725104_US.Normals.2006-2020.zip</v>
      </c>
    </row>
    <row r="1537" spans="1:10" x14ac:dyDescent="0.25">
      <c r="A1537" t="s">
        <v>35</v>
      </c>
      <c r="B1537" t="s">
        <v>938</v>
      </c>
      <c r="C1537" t="s">
        <v>955</v>
      </c>
      <c r="D1537" s="2">
        <v>725109</v>
      </c>
      <c r="E1537" t="s">
        <v>13</v>
      </c>
      <c r="F1537">
        <v>40.238300000000002</v>
      </c>
      <c r="G1537">
        <v>-75.557199999999995</v>
      </c>
      <c r="H1537">
        <v>-5</v>
      </c>
      <c r="I1537">
        <v>88.7</v>
      </c>
      <c r="J1537" t="str">
        <f>HYPERLINK("https://climate.onebuilding.org/WMO_Region_4_North_and_Central_America/USA_United_States_of_America/PA_Pennsylvania/USA_PA_Pottstown-Heritage.Field.AP.725109_US.Normals.2006-2020.zip")</f>
        <v>https://climate.onebuilding.org/WMO_Region_4_North_and_Central_America/USA_United_States_of_America/PA_Pennsylvania/USA_PA_Pottstown-Heritage.Field.AP.725109_US.Normals.2006-2020.zip</v>
      </c>
    </row>
    <row r="1538" spans="1:10" x14ac:dyDescent="0.25">
      <c r="A1538" t="s">
        <v>35</v>
      </c>
      <c r="B1538" t="s">
        <v>938</v>
      </c>
      <c r="C1538" t="s">
        <v>956</v>
      </c>
      <c r="D1538" s="2">
        <v>725103</v>
      </c>
      <c r="E1538" t="s">
        <v>13</v>
      </c>
      <c r="F1538">
        <v>40.366700000000002</v>
      </c>
      <c r="G1538">
        <v>-75.966700000000003</v>
      </c>
      <c r="H1538">
        <v>-5</v>
      </c>
      <c r="I1538">
        <v>103.9</v>
      </c>
      <c r="J1538" t="str">
        <f>HYPERLINK("https://climate.onebuilding.org/WMO_Region_4_North_and_Central_America/USA_United_States_of_America/PA_Pennsylvania/USA_PA_Reading.Rgnl.AP-Spaatz.Field.725103_US.Normals.2006-2020.zip")</f>
        <v>https://climate.onebuilding.org/WMO_Region_4_North_and_Central_America/USA_United_States_of_America/PA_Pennsylvania/USA_PA_Reading.Rgnl.AP-Spaatz.Field.725103_US.Normals.2006-2020.zip</v>
      </c>
    </row>
    <row r="1539" spans="1:10" x14ac:dyDescent="0.25">
      <c r="A1539" t="s">
        <v>35</v>
      </c>
      <c r="B1539" t="s">
        <v>938</v>
      </c>
      <c r="C1539" t="s">
        <v>957</v>
      </c>
      <c r="D1539" s="2">
        <v>725125</v>
      </c>
      <c r="E1539" t="s">
        <v>13</v>
      </c>
      <c r="F1539">
        <v>41.1783</v>
      </c>
      <c r="G1539">
        <v>-78.898899999999998</v>
      </c>
      <c r="H1539">
        <v>-5</v>
      </c>
      <c r="I1539">
        <v>552.9</v>
      </c>
      <c r="J1539" t="str">
        <f>HYPERLINK("https://climate.onebuilding.org/WMO_Region_4_North_and_Central_America/USA_United_States_of_America/PA_Pennsylvania/USA_PA_Reynoldsville-DuBois.Rgnl.AP.725125_US.Normals.1991-2020.zip")</f>
        <v>https://climate.onebuilding.org/WMO_Region_4_North_and_Central_America/USA_United_States_of_America/PA_Pennsylvania/USA_PA_Reynoldsville-DuBois.Rgnl.AP.725125_US.Normals.1991-2020.zip</v>
      </c>
    </row>
    <row r="1540" spans="1:10" x14ac:dyDescent="0.25">
      <c r="A1540" t="s">
        <v>35</v>
      </c>
      <c r="B1540" t="s">
        <v>938</v>
      </c>
      <c r="C1540" t="s">
        <v>957</v>
      </c>
      <c r="D1540" s="2">
        <v>725125</v>
      </c>
      <c r="E1540" t="s">
        <v>13</v>
      </c>
      <c r="F1540">
        <v>41.1783</v>
      </c>
      <c r="G1540">
        <v>-78.898899999999998</v>
      </c>
      <c r="H1540">
        <v>-5</v>
      </c>
      <c r="I1540">
        <v>552.9</v>
      </c>
      <c r="J1540" t="str">
        <f>HYPERLINK("https://climate.onebuilding.org/WMO_Region_4_North_and_Central_America/USA_United_States_of_America/PA_Pennsylvania/USA_PA_Reynoldsville-DuBois.Rgnl.AP.725125_US.Normals.2006-2020.zip")</f>
        <v>https://climate.onebuilding.org/WMO_Region_4_North_and_Central_America/USA_United_States_of_America/PA_Pennsylvania/USA_PA_Reynoldsville-DuBois.Rgnl.AP.725125_US.Normals.2006-2020.zip</v>
      </c>
    </row>
    <row r="1541" spans="1:10" x14ac:dyDescent="0.25">
      <c r="A1541" t="s">
        <v>35</v>
      </c>
      <c r="B1541" t="s">
        <v>938</v>
      </c>
      <c r="C1541" t="s">
        <v>958</v>
      </c>
      <c r="D1541" s="2">
        <v>725105</v>
      </c>
      <c r="E1541" t="s">
        <v>13</v>
      </c>
      <c r="F1541">
        <v>40.820599999999999</v>
      </c>
      <c r="G1541">
        <v>-76.864199999999997</v>
      </c>
      <c r="H1541">
        <v>-5</v>
      </c>
      <c r="I1541">
        <v>135.30000000000001</v>
      </c>
      <c r="J1541" t="str">
        <f>HYPERLINK("https://climate.onebuilding.org/WMO_Region_4_North_and_Central_America/USA_United_States_of_America/PA_Pennsylvania/USA_PA_Selinsgrove-Penn.Valley.AP.725105_US.Normals.2006-2020.zip")</f>
        <v>https://climate.onebuilding.org/WMO_Region_4_North_and_Central_America/USA_United_States_of_America/PA_Pennsylvania/USA_PA_Selinsgrove-Penn.Valley.AP.725105_US.Normals.2006-2020.zip</v>
      </c>
    </row>
    <row r="1542" spans="1:10" x14ac:dyDescent="0.25">
      <c r="A1542" t="s">
        <v>35</v>
      </c>
      <c r="B1542" t="s">
        <v>938</v>
      </c>
      <c r="C1542" t="s">
        <v>959</v>
      </c>
      <c r="D1542" s="2">
        <v>725160</v>
      </c>
      <c r="E1542" t="s">
        <v>13</v>
      </c>
      <c r="F1542">
        <v>39.859200000000001</v>
      </c>
      <c r="G1542">
        <v>-75.786100000000005</v>
      </c>
      <c r="H1542">
        <v>-5</v>
      </c>
      <c r="I1542">
        <v>121.9</v>
      </c>
      <c r="J1542" t="str">
        <f>HYPERLINK("https://climate.onebuilding.org/WMO_Region_4_North_and_Central_America/USA_United_States_of_America/PA_Pennsylvania/USA_PA_Stroud.Water.Research.Center.725160_US.Normals.2006-2020.zip")</f>
        <v>https://climate.onebuilding.org/WMO_Region_4_North_and_Central_America/USA_United_States_of_America/PA_Pennsylvania/USA_PA_Stroud.Water.Research.Center.725160_US.Normals.2006-2020.zip</v>
      </c>
    </row>
    <row r="1543" spans="1:10" x14ac:dyDescent="0.25">
      <c r="A1543" t="s">
        <v>35</v>
      </c>
      <c r="B1543" t="s">
        <v>938</v>
      </c>
      <c r="C1543" t="s">
        <v>960</v>
      </c>
      <c r="D1543" s="2">
        <v>725130</v>
      </c>
      <c r="E1543" t="s">
        <v>13</v>
      </c>
      <c r="F1543">
        <v>41.333599999999997</v>
      </c>
      <c r="G1543">
        <v>-75.726900000000001</v>
      </c>
      <c r="H1543">
        <v>-5</v>
      </c>
      <c r="I1543">
        <v>283.5</v>
      </c>
      <c r="J1543" t="str">
        <f>HYPERLINK("https://climate.onebuilding.org/WMO_Region_4_North_and_Central_America/USA_United_States_of_America/PA_Pennsylvania/USA_PA_Wilkes-Barre-Scranton.Intl.AP.725130_US.Normals.1981-2010.zip")</f>
        <v>https://climate.onebuilding.org/WMO_Region_4_North_and_Central_America/USA_United_States_of_America/PA_Pennsylvania/USA_PA_Wilkes-Barre-Scranton.Intl.AP.725130_US.Normals.1981-2010.zip</v>
      </c>
    </row>
    <row r="1544" spans="1:10" x14ac:dyDescent="0.25">
      <c r="A1544" t="s">
        <v>35</v>
      </c>
      <c r="B1544" t="s">
        <v>938</v>
      </c>
      <c r="C1544" t="s">
        <v>960</v>
      </c>
      <c r="D1544" s="2">
        <v>725130</v>
      </c>
      <c r="E1544" t="s">
        <v>13</v>
      </c>
      <c r="F1544">
        <v>41.333599999999997</v>
      </c>
      <c r="G1544">
        <v>-75.726900000000001</v>
      </c>
      <c r="H1544">
        <v>-5</v>
      </c>
      <c r="I1544">
        <v>283.5</v>
      </c>
      <c r="J1544" t="str">
        <f>HYPERLINK("https://climate.onebuilding.org/WMO_Region_4_North_and_Central_America/USA_United_States_of_America/PA_Pennsylvania/USA_PA_Wilkes-Barre-Scranton.Intl.AP.725130_US.Normals.1991-2020.zip")</f>
        <v>https://climate.onebuilding.org/WMO_Region_4_North_and_Central_America/USA_United_States_of_America/PA_Pennsylvania/USA_PA_Wilkes-Barre-Scranton.Intl.AP.725130_US.Normals.1991-2020.zip</v>
      </c>
    </row>
    <row r="1545" spans="1:10" x14ac:dyDescent="0.25">
      <c r="A1545" t="s">
        <v>35</v>
      </c>
      <c r="B1545" t="s">
        <v>938</v>
      </c>
      <c r="C1545" t="s">
        <v>960</v>
      </c>
      <c r="D1545" s="2">
        <v>725130</v>
      </c>
      <c r="E1545" t="s">
        <v>13</v>
      </c>
      <c r="F1545">
        <v>41.333599999999997</v>
      </c>
      <c r="G1545">
        <v>-75.726900000000001</v>
      </c>
      <c r="H1545">
        <v>-5</v>
      </c>
      <c r="I1545">
        <v>283.5</v>
      </c>
      <c r="J1545" t="str">
        <f>HYPERLINK("https://climate.onebuilding.org/WMO_Region_4_North_and_Central_America/USA_United_States_of_America/PA_Pennsylvania/USA_PA_Wilkes-Barre-Scranton.Intl.AP.725130_US.Normals.2006-2020.zip")</f>
        <v>https://climate.onebuilding.org/WMO_Region_4_North_and_Central_America/USA_United_States_of_America/PA_Pennsylvania/USA_PA_Wilkes-Barre-Scranton.Intl.AP.725130_US.Normals.2006-2020.zip</v>
      </c>
    </row>
    <row r="1546" spans="1:10" x14ac:dyDescent="0.25">
      <c r="A1546" t="s">
        <v>35</v>
      </c>
      <c r="B1546" t="s">
        <v>938</v>
      </c>
      <c r="C1546" t="s">
        <v>961</v>
      </c>
      <c r="D1546" s="2">
        <v>725140</v>
      </c>
      <c r="E1546" t="s">
        <v>13</v>
      </c>
      <c r="F1546">
        <v>41.243299999999998</v>
      </c>
      <c r="G1546">
        <v>-76.921700000000001</v>
      </c>
      <c r="H1546">
        <v>-5</v>
      </c>
      <c r="I1546">
        <v>158.5</v>
      </c>
      <c r="J1546" t="str">
        <f>HYPERLINK("https://climate.onebuilding.org/WMO_Region_4_North_and_Central_America/USA_United_States_of_America/PA_Pennsylvania/USA_PA_Williamsport.Rgnl.AP.725140_US.Normals.1981-2010.zip")</f>
        <v>https://climate.onebuilding.org/WMO_Region_4_North_and_Central_America/USA_United_States_of_America/PA_Pennsylvania/USA_PA_Williamsport.Rgnl.AP.725140_US.Normals.1981-2010.zip</v>
      </c>
    </row>
    <row r="1547" spans="1:10" x14ac:dyDescent="0.25">
      <c r="A1547" t="s">
        <v>35</v>
      </c>
      <c r="B1547" t="s">
        <v>938</v>
      </c>
      <c r="C1547" t="s">
        <v>961</v>
      </c>
      <c r="D1547" s="2">
        <v>725140</v>
      </c>
      <c r="E1547" t="s">
        <v>13</v>
      </c>
      <c r="F1547">
        <v>41.243299999999998</v>
      </c>
      <c r="G1547">
        <v>-76.921700000000001</v>
      </c>
      <c r="H1547">
        <v>-5</v>
      </c>
      <c r="I1547">
        <v>158.5</v>
      </c>
      <c r="J1547" t="str">
        <f>HYPERLINK("https://climate.onebuilding.org/WMO_Region_4_North_and_Central_America/USA_United_States_of_America/PA_Pennsylvania/USA_PA_Williamsport.Rgnl.AP.725140_US.Normals.1991-2020.zip")</f>
        <v>https://climate.onebuilding.org/WMO_Region_4_North_and_Central_America/USA_United_States_of_America/PA_Pennsylvania/USA_PA_Williamsport.Rgnl.AP.725140_US.Normals.1991-2020.zip</v>
      </c>
    </row>
    <row r="1548" spans="1:10" x14ac:dyDescent="0.25">
      <c r="A1548" t="s">
        <v>35</v>
      </c>
      <c r="B1548" t="s">
        <v>938</v>
      </c>
      <c r="C1548" t="s">
        <v>961</v>
      </c>
      <c r="D1548" s="2">
        <v>725140</v>
      </c>
      <c r="E1548" t="s">
        <v>13</v>
      </c>
      <c r="F1548">
        <v>41.243299999999998</v>
      </c>
      <c r="G1548">
        <v>-76.921700000000001</v>
      </c>
      <c r="H1548">
        <v>-5</v>
      </c>
      <c r="I1548">
        <v>158.5</v>
      </c>
      <c r="J1548" t="str">
        <f>HYPERLINK("https://climate.onebuilding.org/WMO_Region_4_North_and_Central_America/USA_United_States_of_America/PA_Pennsylvania/USA_PA_Williamsport.Rgnl.AP.725140_US.Normals.2006-2020.zip")</f>
        <v>https://climate.onebuilding.org/WMO_Region_4_North_and_Central_America/USA_United_States_of_America/PA_Pennsylvania/USA_PA_Williamsport.Rgnl.AP.725140_US.Normals.2006-2020.zip</v>
      </c>
    </row>
    <row r="1549" spans="1:10" x14ac:dyDescent="0.25">
      <c r="A1549" t="s">
        <v>35</v>
      </c>
      <c r="B1549" t="s">
        <v>938</v>
      </c>
      <c r="C1549" t="s">
        <v>962</v>
      </c>
      <c r="D1549" s="2">
        <v>725114</v>
      </c>
      <c r="E1549" t="s">
        <v>13</v>
      </c>
      <c r="F1549">
        <v>39.918100000000003</v>
      </c>
      <c r="G1549">
        <v>-76.874200000000002</v>
      </c>
      <c r="H1549">
        <v>-5</v>
      </c>
      <c r="I1549">
        <v>148.1</v>
      </c>
      <c r="J1549" t="str">
        <f>HYPERLINK("https://climate.onebuilding.org/WMO_Region_4_North_and_Central_America/USA_United_States_of_America/PA_Pennsylvania/USA_PA_York.AP.725114_US.Normals.2006-2020.zip")</f>
        <v>https://climate.onebuilding.org/WMO_Region_4_North_and_Central_America/USA_United_States_of_America/PA_Pennsylvania/USA_PA_York.AP.725114_US.Normals.2006-2020.zip</v>
      </c>
    </row>
    <row r="1550" spans="1:10" x14ac:dyDescent="0.25">
      <c r="A1550" t="s">
        <v>35</v>
      </c>
      <c r="B1550" t="s">
        <v>963</v>
      </c>
      <c r="C1550" t="s">
        <v>964</v>
      </c>
      <c r="D1550" s="2">
        <v>725058</v>
      </c>
      <c r="E1550" t="s">
        <v>13</v>
      </c>
      <c r="F1550">
        <v>41.166699999999999</v>
      </c>
      <c r="G1550">
        <v>-71.583299999999994</v>
      </c>
      <c r="H1550">
        <v>-5</v>
      </c>
      <c r="I1550">
        <v>33.5</v>
      </c>
      <c r="J1550" t="str">
        <f>HYPERLINK("https://climate.onebuilding.org/WMO_Region_4_North_and_Central_America/USA_United_States_of_America/RI_Rhode_Island/USA_RI_Block.Island.State.AP.725058_US.Normals.2006-2020.zip")</f>
        <v>https://climate.onebuilding.org/WMO_Region_4_North_and_Central_America/USA_United_States_of_America/RI_Rhode_Island/USA_RI_Block.Island.State.AP.725058_US.Normals.2006-2020.zip</v>
      </c>
    </row>
    <row r="1551" spans="1:10" x14ac:dyDescent="0.25">
      <c r="A1551" t="s">
        <v>35</v>
      </c>
      <c r="B1551" t="s">
        <v>963</v>
      </c>
      <c r="C1551" t="s">
        <v>965</v>
      </c>
      <c r="D1551" s="2">
        <v>725110</v>
      </c>
      <c r="E1551" t="s">
        <v>13</v>
      </c>
      <c r="F1551">
        <v>41.491100000000003</v>
      </c>
      <c r="G1551">
        <v>-71.541399999999996</v>
      </c>
      <c r="H1551">
        <v>-5</v>
      </c>
      <c r="I1551">
        <v>35.1</v>
      </c>
      <c r="J1551" t="str">
        <f>HYPERLINK("https://climate.onebuilding.org/WMO_Region_4_North_and_Central_America/USA_United_States_of_America/RI_Rhode_Island/USA_RI_Kingston-Univ.Rhode.Island.725110_US.Normals.2006-2020.zip")</f>
        <v>https://climate.onebuilding.org/WMO_Region_4_North_and_Central_America/USA_United_States_of_America/RI_Rhode_Island/USA_RI_Kingston-Univ.Rhode.Island.725110_US.Normals.2006-2020.zip</v>
      </c>
    </row>
    <row r="1552" spans="1:10" x14ac:dyDescent="0.25">
      <c r="A1552" t="s">
        <v>35</v>
      </c>
      <c r="B1552" t="s">
        <v>963</v>
      </c>
      <c r="C1552" t="s">
        <v>966</v>
      </c>
      <c r="D1552" s="2">
        <v>725120</v>
      </c>
      <c r="E1552" t="s">
        <v>13</v>
      </c>
      <c r="F1552">
        <v>41.478299999999997</v>
      </c>
      <c r="G1552">
        <v>-71.541700000000006</v>
      </c>
      <c r="H1552">
        <v>-5</v>
      </c>
      <c r="I1552">
        <v>32.299999999999997</v>
      </c>
      <c r="J1552" t="str">
        <f>HYPERLINK("https://climate.onebuilding.org/WMO_Region_4_North_and_Central_America/USA_United_States_of_America/RI_Rhode_Island/USA_RI_Kingston.1.W.725120_US.Normals.2006-2020.zip")</f>
        <v>https://climate.onebuilding.org/WMO_Region_4_North_and_Central_America/USA_United_States_of_America/RI_Rhode_Island/USA_RI_Kingston.1.W.725120_US.Normals.2006-2020.zip</v>
      </c>
    </row>
    <row r="1553" spans="1:10" x14ac:dyDescent="0.25">
      <c r="A1553" t="s">
        <v>35</v>
      </c>
      <c r="B1553" t="s">
        <v>963</v>
      </c>
      <c r="C1553" t="s">
        <v>967</v>
      </c>
      <c r="D1553" s="2">
        <v>725079</v>
      </c>
      <c r="E1553" t="s">
        <v>13</v>
      </c>
      <c r="F1553">
        <v>41.533299999999997</v>
      </c>
      <c r="G1553">
        <v>-71.283299999999997</v>
      </c>
      <c r="H1553">
        <v>-5</v>
      </c>
      <c r="I1553">
        <v>52.4</v>
      </c>
      <c r="J1553" t="str">
        <f>HYPERLINK("https://climate.onebuilding.org/WMO_Region_4_North_and_Central_America/USA_United_States_of_America/RI_Rhode_Island/USA_RI_Newport.State.AP.725079_US.Normals.2006-2020.zip")</f>
        <v>https://climate.onebuilding.org/WMO_Region_4_North_and_Central_America/USA_United_States_of_America/RI_Rhode_Island/USA_RI_Newport.State.AP.725079_US.Normals.2006-2020.zip</v>
      </c>
    </row>
    <row r="1554" spans="1:10" x14ac:dyDescent="0.25">
      <c r="A1554" t="s">
        <v>35</v>
      </c>
      <c r="B1554" t="s">
        <v>963</v>
      </c>
      <c r="C1554" t="s">
        <v>968</v>
      </c>
      <c r="D1554" s="2">
        <v>725070</v>
      </c>
      <c r="E1554" t="s">
        <v>13</v>
      </c>
      <c r="F1554">
        <v>41.721899999999998</v>
      </c>
      <c r="G1554">
        <v>-71.432500000000005</v>
      </c>
      <c r="H1554">
        <v>-5</v>
      </c>
      <c r="I1554">
        <v>18.3</v>
      </c>
      <c r="J1554" t="str">
        <f>HYPERLINK("https://climate.onebuilding.org/WMO_Region_4_North_and_Central_America/USA_United_States_of_America/RI_Rhode_Island/USA_RI_Providence-Green.Intl.State.AP.725070_US.Normals.1981-2010.zip")</f>
        <v>https://climate.onebuilding.org/WMO_Region_4_North_and_Central_America/USA_United_States_of_America/RI_Rhode_Island/USA_RI_Providence-Green.Intl.State.AP.725070_US.Normals.1981-2010.zip</v>
      </c>
    </row>
    <row r="1555" spans="1:10" x14ac:dyDescent="0.25">
      <c r="A1555" t="s">
        <v>35</v>
      </c>
      <c r="B1555" t="s">
        <v>963</v>
      </c>
      <c r="C1555" t="s">
        <v>968</v>
      </c>
      <c r="D1555" s="2">
        <v>725070</v>
      </c>
      <c r="E1555" t="s">
        <v>13</v>
      </c>
      <c r="F1555">
        <v>41.721899999999998</v>
      </c>
      <c r="G1555">
        <v>-71.432500000000005</v>
      </c>
      <c r="H1555">
        <v>-5</v>
      </c>
      <c r="I1555">
        <v>18.3</v>
      </c>
      <c r="J1555" t="str">
        <f>HYPERLINK("https://climate.onebuilding.org/WMO_Region_4_North_and_Central_America/USA_United_States_of_America/RI_Rhode_Island/USA_RI_Providence-Green.Intl.State.AP.725070_US.Normals.1991-2020.zip")</f>
        <v>https://climate.onebuilding.org/WMO_Region_4_North_and_Central_America/USA_United_States_of_America/RI_Rhode_Island/USA_RI_Providence-Green.Intl.State.AP.725070_US.Normals.1991-2020.zip</v>
      </c>
    </row>
    <row r="1556" spans="1:10" x14ac:dyDescent="0.25">
      <c r="A1556" t="s">
        <v>35</v>
      </c>
      <c r="B1556" t="s">
        <v>963</v>
      </c>
      <c r="C1556" t="s">
        <v>968</v>
      </c>
      <c r="D1556" s="2">
        <v>725070</v>
      </c>
      <c r="E1556" t="s">
        <v>13</v>
      </c>
      <c r="F1556">
        <v>41.721899999999998</v>
      </c>
      <c r="G1556">
        <v>-71.432500000000005</v>
      </c>
      <c r="H1556">
        <v>-5</v>
      </c>
      <c r="I1556">
        <v>18.3</v>
      </c>
      <c r="J1556" t="str">
        <f>HYPERLINK("https://climate.onebuilding.org/WMO_Region_4_North_and_Central_America/USA_United_States_of_America/RI_Rhode_Island/USA_RI_Providence-Green.Intl.State.AP.725070_US.Normals.2006-2020.zip")</f>
        <v>https://climate.onebuilding.org/WMO_Region_4_North_and_Central_America/USA_United_States_of_America/RI_Rhode_Island/USA_RI_Providence-Green.Intl.State.AP.725070_US.Normals.2006-2020.zip</v>
      </c>
    </row>
    <row r="1557" spans="1:10" x14ac:dyDescent="0.25">
      <c r="A1557" t="s">
        <v>35</v>
      </c>
      <c r="B1557" t="s">
        <v>963</v>
      </c>
      <c r="C1557" t="s">
        <v>969</v>
      </c>
      <c r="D1557" s="2">
        <v>722151</v>
      </c>
      <c r="E1557" t="s">
        <v>13</v>
      </c>
      <c r="F1557">
        <v>41.349699999999999</v>
      </c>
      <c r="G1557">
        <v>-71.798900000000003</v>
      </c>
      <c r="H1557">
        <v>-5</v>
      </c>
      <c r="I1557">
        <v>24.7</v>
      </c>
      <c r="J1557" t="str">
        <f>HYPERLINK("https://climate.onebuilding.org/WMO_Region_4_North_and_Central_America/USA_United_States_of_America/RI_Rhode_Island/USA_RI_Westerly.State.AP.722151_US.Normals.2006-2020.zip")</f>
        <v>https://climate.onebuilding.org/WMO_Region_4_North_and_Central_America/USA_United_States_of_America/RI_Rhode_Island/USA_RI_Westerly.State.AP.722151_US.Normals.2006-2020.zip</v>
      </c>
    </row>
    <row r="1558" spans="1:10" x14ac:dyDescent="0.25">
      <c r="A1558" t="s">
        <v>35</v>
      </c>
      <c r="B1558" t="s">
        <v>970</v>
      </c>
      <c r="C1558" t="s">
        <v>971</v>
      </c>
      <c r="D1558" s="2">
        <v>723190</v>
      </c>
      <c r="E1558" t="s">
        <v>13</v>
      </c>
      <c r="F1558">
        <v>34.497799999999998</v>
      </c>
      <c r="G1558">
        <v>-82.709699999999998</v>
      </c>
      <c r="H1558">
        <v>-6</v>
      </c>
      <c r="I1558">
        <v>231.6</v>
      </c>
      <c r="J1558" t="str">
        <f>HYPERLINK("https://climate.onebuilding.org/WMO_Region_4_North_and_Central_America/USA_United_States_of_America/SC_South_Carolina/USA_SC_Anderson.Rgnl.AP.723190_US.Normals.2006-2020.zip")</f>
        <v>https://climate.onebuilding.org/WMO_Region_4_North_and_Central_America/USA_United_States_of_America/SC_South_Carolina/USA_SC_Anderson.Rgnl.AP.723190_US.Normals.2006-2020.zip</v>
      </c>
    </row>
    <row r="1559" spans="1:10" x14ac:dyDescent="0.25">
      <c r="A1559" t="s">
        <v>35</v>
      </c>
      <c r="B1559" t="s">
        <v>970</v>
      </c>
      <c r="C1559" t="s">
        <v>972</v>
      </c>
      <c r="D1559" s="2">
        <v>747840</v>
      </c>
      <c r="E1559" t="s">
        <v>13</v>
      </c>
      <c r="F1559">
        <v>33.354999999999997</v>
      </c>
      <c r="G1559">
        <v>-81.327799999999996</v>
      </c>
      <c r="H1559">
        <v>-5</v>
      </c>
      <c r="I1559">
        <v>96.6</v>
      </c>
      <c r="J1559" t="str">
        <f>HYPERLINK("https://climate.onebuilding.org/WMO_Region_4_North_and_Central_America/USA_United_States_of_America/SC_South_Carolina/USA_SC_Clemson.Univ.Edisto.Research.Center.747840_US.Normals.2006-2020.zip")</f>
        <v>https://climate.onebuilding.org/WMO_Region_4_North_and_Central_America/USA_United_States_of_America/SC_South_Carolina/USA_SC_Clemson.Univ.Edisto.Research.Center.747840_US.Normals.2006-2020.zip</v>
      </c>
    </row>
    <row r="1560" spans="1:10" x14ac:dyDescent="0.25">
      <c r="A1560" t="s">
        <v>35</v>
      </c>
      <c r="B1560" t="s">
        <v>970</v>
      </c>
      <c r="C1560" t="s">
        <v>973</v>
      </c>
      <c r="D1560" s="2">
        <v>723104</v>
      </c>
      <c r="E1560" t="s">
        <v>13</v>
      </c>
      <c r="F1560">
        <v>33.970599999999997</v>
      </c>
      <c r="G1560">
        <v>-80.995800000000003</v>
      </c>
      <c r="H1560">
        <v>-5</v>
      </c>
      <c r="I1560">
        <v>64.599999999999994</v>
      </c>
      <c r="J1560" t="str">
        <f>HYPERLINK("https://climate.onebuilding.org/WMO_Region_4_North_and_Central_America/USA_United_States_of_America/SC_South_Carolina/USA_SC_Columbia-Hamilton-Owens.AP.723104_US.Normals.2006-2020.zip")</f>
        <v>https://climate.onebuilding.org/WMO_Region_4_North_and_Central_America/USA_United_States_of_America/SC_South_Carolina/USA_SC_Columbia-Hamilton-Owens.AP.723104_US.Normals.2006-2020.zip</v>
      </c>
    </row>
    <row r="1561" spans="1:10" x14ac:dyDescent="0.25">
      <c r="A1561" t="s">
        <v>35</v>
      </c>
      <c r="B1561" t="s">
        <v>970</v>
      </c>
      <c r="C1561" t="s">
        <v>974</v>
      </c>
      <c r="D1561" s="2">
        <v>723100</v>
      </c>
      <c r="E1561" t="s">
        <v>13</v>
      </c>
      <c r="F1561">
        <v>33.948599999999999</v>
      </c>
      <c r="G1561">
        <v>-81.118600000000001</v>
      </c>
      <c r="H1561">
        <v>-5</v>
      </c>
      <c r="I1561">
        <v>70.400000000000006</v>
      </c>
      <c r="J1561" t="str">
        <f>HYPERLINK("https://climate.onebuilding.org/WMO_Region_4_North_and_Central_America/USA_United_States_of_America/SC_South_Carolina/USA_SC_Columbia.Metro.AP.723100_US.Normals.1981-2010.zip")</f>
        <v>https://climate.onebuilding.org/WMO_Region_4_North_and_Central_America/USA_United_States_of_America/SC_South_Carolina/USA_SC_Columbia.Metro.AP.723100_US.Normals.1981-2010.zip</v>
      </c>
    </row>
    <row r="1562" spans="1:10" x14ac:dyDescent="0.25">
      <c r="A1562" t="s">
        <v>35</v>
      </c>
      <c r="B1562" t="s">
        <v>970</v>
      </c>
      <c r="C1562" t="s">
        <v>974</v>
      </c>
      <c r="D1562" s="2">
        <v>723100</v>
      </c>
      <c r="E1562" t="s">
        <v>13</v>
      </c>
      <c r="F1562">
        <v>33.948599999999999</v>
      </c>
      <c r="G1562">
        <v>-81.118600000000001</v>
      </c>
      <c r="H1562">
        <v>-5</v>
      </c>
      <c r="I1562">
        <v>70.400000000000006</v>
      </c>
      <c r="J1562" t="str">
        <f>HYPERLINK("https://climate.onebuilding.org/WMO_Region_4_North_and_Central_America/USA_United_States_of_America/SC_South_Carolina/USA_SC_Columbia.Metro.AP.723100_US.Normals.1991-2020.zip")</f>
        <v>https://climate.onebuilding.org/WMO_Region_4_North_and_Central_America/USA_United_States_of_America/SC_South_Carolina/USA_SC_Columbia.Metro.AP.723100_US.Normals.1991-2020.zip</v>
      </c>
    </row>
    <row r="1563" spans="1:10" x14ac:dyDescent="0.25">
      <c r="A1563" t="s">
        <v>35</v>
      </c>
      <c r="B1563" t="s">
        <v>970</v>
      </c>
      <c r="C1563" t="s">
        <v>974</v>
      </c>
      <c r="D1563" s="2">
        <v>723100</v>
      </c>
      <c r="E1563" t="s">
        <v>13</v>
      </c>
      <c r="F1563">
        <v>33.948599999999999</v>
      </c>
      <c r="G1563">
        <v>-81.118600000000001</v>
      </c>
      <c r="H1563">
        <v>-5</v>
      </c>
      <c r="I1563">
        <v>70.400000000000006</v>
      </c>
      <c r="J1563" t="str">
        <f>HYPERLINK("https://climate.onebuilding.org/WMO_Region_4_North_and_Central_America/USA_United_States_of_America/SC_South_Carolina/USA_SC_Columbia.Metro.AP.723100_US.Normals.2006-2020.zip")</f>
        <v>https://climate.onebuilding.org/WMO_Region_4_North_and_Central_America/USA_United_States_of_America/SC_South_Carolina/USA_SC_Columbia.Metro.AP.723100_US.Normals.2006-2020.zip</v>
      </c>
    </row>
    <row r="1564" spans="1:10" x14ac:dyDescent="0.25">
      <c r="A1564" t="s">
        <v>35</v>
      </c>
      <c r="B1564" t="s">
        <v>970</v>
      </c>
      <c r="C1564" t="s">
        <v>975</v>
      </c>
      <c r="D1564" s="2">
        <v>723106</v>
      </c>
      <c r="E1564" t="s">
        <v>13</v>
      </c>
      <c r="F1564">
        <v>34.185299999999998</v>
      </c>
      <c r="G1564">
        <v>-79.7239</v>
      </c>
      <c r="H1564">
        <v>-5</v>
      </c>
      <c r="I1564">
        <v>44.5</v>
      </c>
      <c r="J1564" t="str">
        <f>HYPERLINK("https://climate.onebuilding.org/WMO_Region_4_North_and_Central_America/USA_United_States_of_America/SC_South_Carolina/USA_SC_Florence.Rgnl.AP.723106_US.Normals.1981-2010.zip")</f>
        <v>https://climate.onebuilding.org/WMO_Region_4_North_and_Central_America/USA_United_States_of_America/SC_South_Carolina/USA_SC_Florence.Rgnl.AP.723106_US.Normals.1981-2010.zip</v>
      </c>
    </row>
    <row r="1565" spans="1:10" x14ac:dyDescent="0.25">
      <c r="A1565" t="s">
        <v>35</v>
      </c>
      <c r="B1565" t="s">
        <v>970</v>
      </c>
      <c r="C1565" t="s">
        <v>975</v>
      </c>
      <c r="D1565" s="2">
        <v>723106</v>
      </c>
      <c r="E1565" t="s">
        <v>13</v>
      </c>
      <c r="F1565">
        <v>34.185299999999998</v>
      </c>
      <c r="G1565">
        <v>-79.7239</v>
      </c>
      <c r="H1565">
        <v>-5</v>
      </c>
      <c r="I1565">
        <v>44.5</v>
      </c>
      <c r="J1565" t="str">
        <f>HYPERLINK("https://climate.onebuilding.org/WMO_Region_4_North_and_Central_America/USA_United_States_of_America/SC_South_Carolina/USA_SC_Florence.Rgnl.AP.723106_US.Normals.1991-2020.zip")</f>
        <v>https://climate.onebuilding.org/WMO_Region_4_North_and_Central_America/USA_United_States_of_America/SC_South_Carolina/USA_SC_Florence.Rgnl.AP.723106_US.Normals.1991-2020.zip</v>
      </c>
    </row>
    <row r="1566" spans="1:10" x14ac:dyDescent="0.25">
      <c r="A1566" t="s">
        <v>35</v>
      </c>
      <c r="B1566" t="s">
        <v>970</v>
      </c>
      <c r="C1566" t="s">
        <v>975</v>
      </c>
      <c r="D1566" s="2">
        <v>723106</v>
      </c>
      <c r="E1566" t="s">
        <v>13</v>
      </c>
      <c r="F1566">
        <v>34.185299999999998</v>
      </c>
      <c r="G1566">
        <v>-79.7239</v>
      </c>
      <c r="H1566">
        <v>-5</v>
      </c>
      <c r="I1566">
        <v>44.5</v>
      </c>
      <c r="J1566" t="str">
        <f>HYPERLINK("https://climate.onebuilding.org/WMO_Region_4_North_and_Central_America/USA_United_States_of_America/SC_South_Carolina/USA_SC_Florence.Rgnl.AP.723106_US.Normals.2006-2020.zip")</f>
        <v>https://climate.onebuilding.org/WMO_Region_4_North_and_Central_America/USA_United_States_of_America/SC_South_Carolina/USA_SC_Florence.Rgnl.AP.723106_US.Normals.2006-2020.zip</v>
      </c>
    </row>
    <row r="1567" spans="1:10" x14ac:dyDescent="0.25">
      <c r="A1567" t="s">
        <v>35</v>
      </c>
      <c r="B1567" t="s">
        <v>970</v>
      </c>
      <c r="C1567" t="s">
        <v>976</v>
      </c>
      <c r="D1567" s="2">
        <v>723120</v>
      </c>
      <c r="E1567" t="s">
        <v>13</v>
      </c>
      <c r="F1567">
        <v>34.883099999999999</v>
      </c>
      <c r="G1567">
        <v>-82.220299999999995</v>
      </c>
      <c r="H1567">
        <v>-5</v>
      </c>
      <c r="I1567">
        <v>286.5</v>
      </c>
      <c r="J1567" t="str">
        <f>HYPERLINK("https://climate.onebuilding.org/WMO_Region_4_North_and_Central_America/USA_United_States_of_America/SC_South_Carolina/USA_SC_Greenville-Spartanburg.Intl.AP.723120_US.Normals.1981-2010.zip")</f>
        <v>https://climate.onebuilding.org/WMO_Region_4_North_and_Central_America/USA_United_States_of_America/SC_South_Carolina/USA_SC_Greenville-Spartanburg.Intl.AP.723120_US.Normals.1981-2010.zip</v>
      </c>
    </row>
    <row r="1568" spans="1:10" x14ac:dyDescent="0.25">
      <c r="A1568" t="s">
        <v>35</v>
      </c>
      <c r="B1568" t="s">
        <v>970</v>
      </c>
      <c r="C1568" t="s">
        <v>976</v>
      </c>
      <c r="D1568" s="2">
        <v>723120</v>
      </c>
      <c r="E1568" t="s">
        <v>13</v>
      </c>
      <c r="F1568">
        <v>34.883099999999999</v>
      </c>
      <c r="G1568">
        <v>-82.220299999999995</v>
      </c>
      <c r="H1568">
        <v>-5</v>
      </c>
      <c r="I1568">
        <v>286.5</v>
      </c>
      <c r="J1568" t="str">
        <f>HYPERLINK("https://climate.onebuilding.org/WMO_Region_4_North_and_Central_America/USA_United_States_of_America/SC_South_Carolina/USA_SC_Greenville-Spartanburg.Intl.AP.723120_US.Normals.1991-2020.zip")</f>
        <v>https://climate.onebuilding.org/WMO_Region_4_North_and_Central_America/USA_United_States_of_America/SC_South_Carolina/USA_SC_Greenville-Spartanburg.Intl.AP.723120_US.Normals.1991-2020.zip</v>
      </c>
    </row>
    <row r="1569" spans="1:10" x14ac:dyDescent="0.25">
      <c r="A1569" t="s">
        <v>35</v>
      </c>
      <c r="B1569" t="s">
        <v>970</v>
      </c>
      <c r="C1569" t="s">
        <v>976</v>
      </c>
      <c r="D1569" s="2">
        <v>723120</v>
      </c>
      <c r="E1569" t="s">
        <v>13</v>
      </c>
      <c r="F1569">
        <v>34.883099999999999</v>
      </c>
      <c r="G1569">
        <v>-82.220299999999995</v>
      </c>
      <c r="H1569">
        <v>-5</v>
      </c>
      <c r="I1569">
        <v>286.5</v>
      </c>
      <c r="J1569" t="str">
        <f>HYPERLINK("https://climate.onebuilding.org/WMO_Region_4_North_and_Central_America/USA_United_States_of_America/SC_South_Carolina/USA_SC_Greenville-Spartanburg.Intl.AP.723120_US.Normals.2006-2020.zip")</f>
        <v>https://climate.onebuilding.org/WMO_Region_4_North_and_Central_America/USA_United_States_of_America/SC_South_Carolina/USA_SC_Greenville-Spartanburg.Intl.AP.723120_US.Normals.2006-2020.zip</v>
      </c>
    </row>
    <row r="1570" spans="1:10" x14ac:dyDescent="0.25">
      <c r="A1570" t="s">
        <v>35</v>
      </c>
      <c r="B1570" t="s">
        <v>970</v>
      </c>
      <c r="C1570" t="s">
        <v>977</v>
      </c>
      <c r="D1570" s="2">
        <v>723119</v>
      </c>
      <c r="E1570" t="s">
        <v>13</v>
      </c>
      <c r="F1570">
        <v>34.8461</v>
      </c>
      <c r="G1570">
        <v>-82.346100000000007</v>
      </c>
      <c r="H1570">
        <v>-5</v>
      </c>
      <c r="I1570">
        <v>319.39999999999998</v>
      </c>
      <c r="J1570" t="str">
        <f>HYPERLINK("https://climate.onebuilding.org/WMO_Region_4_North_and_Central_America/USA_United_States_of_America/SC_South_Carolina/USA_SC_Greenville.Downtown.AP.723119_US.Normals.2006-2020.zip")</f>
        <v>https://climate.onebuilding.org/WMO_Region_4_North_and_Central_America/USA_United_States_of_America/SC_South_Carolina/USA_SC_Greenville.Downtown.AP.723119_US.Normals.2006-2020.zip</v>
      </c>
    </row>
    <row r="1571" spans="1:10" x14ac:dyDescent="0.25">
      <c r="A1571" t="s">
        <v>35</v>
      </c>
      <c r="B1571" t="s">
        <v>970</v>
      </c>
      <c r="C1571" t="s">
        <v>978</v>
      </c>
      <c r="D1571" s="2">
        <v>723124</v>
      </c>
      <c r="E1571" t="s">
        <v>13</v>
      </c>
      <c r="F1571">
        <v>34.248600000000003</v>
      </c>
      <c r="G1571">
        <v>-82.159199999999998</v>
      </c>
      <c r="H1571">
        <v>-5</v>
      </c>
      <c r="I1571">
        <v>192.3</v>
      </c>
      <c r="J1571" t="str">
        <f>HYPERLINK("https://climate.onebuilding.org/WMO_Region_4_North_and_Central_America/USA_United_States_of_America/SC_South_Carolina/USA_SC_Greenwood.County.AP.723124_US.Normals.2006-2020.zip")</f>
        <v>https://climate.onebuilding.org/WMO_Region_4_North_and_Central_America/USA_United_States_of_America/SC_South_Carolina/USA_SC_Greenwood.County.AP.723124_US.Normals.2006-2020.zip</v>
      </c>
    </row>
    <row r="1572" spans="1:10" x14ac:dyDescent="0.25">
      <c r="A1572" t="s">
        <v>35</v>
      </c>
      <c r="B1572" t="s">
        <v>970</v>
      </c>
      <c r="C1572" t="s">
        <v>979</v>
      </c>
      <c r="D1572" s="2">
        <v>722080</v>
      </c>
      <c r="E1572" t="s">
        <v>13</v>
      </c>
      <c r="F1572">
        <v>32.898600000000002</v>
      </c>
      <c r="G1572">
        <v>-80.040300000000002</v>
      </c>
      <c r="H1572">
        <v>-5</v>
      </c>
      <c r="I1572">
        <v>12.2</v>
      </c>
      <c r="J1572" t="str">
        <f>HYPERLINK("https://climate.onebuilding.org/WMO_Region_4_North_and_Central_America/USA_United_States_of_America/SC_South_Carolina/USA_SC_JB.Charleston-Charleston.Intl.AP.722080_US.Normals.1981-2010.zip")</f>
        <v>https://climate.onebuilding.org/WMO_Region_4_North_and_Central_America/USA_United_States_of_America/SC_South_Carolina/USA_SC_JB.Charleston-Charleston.Intl.AP.722080_US.Normals.1981-2010.zip</v>
      </c>
    </row>
    <row r="1573" spans="1:10" x14ac:dyDescent="0.25">
      <c r="A1573" t="s">
        <v>35</v>
      </c>
      <c r="B1573" t="s">
        <v>970</v>
      </c>
      <c r="C1573" t="s">
        <v>979</v>
      </c>
      <c r="D1573" s="2">
        <v>722080</v>
      </c>
      <c r="E1573" t="s">
        <v>13</v>
      </c>
      <c r="F1573">
        <v>32.898600000000002</v>
      </c>
      <c r="G1573">
        <v>-80.040300000000002</v>
      </c>
      <c r="H1573">
        <v>-5</v>
      </c>
      <c r="I1573">
        <v>12.2</v>
      </c>
      <c r="J1573" t="str">
        <f>HYPERLINK("https://climate.onebuilding.org/WMO_Region_4_North_and_Central_America/USA_United_States_of_America/SC_South_Carolina/USA_SC_JB.Charleston-Charleston.Intl.AP.722080_US.Normals.1991-2020.zip")</f>
        <v>https://climate.onebuilding.org/WMO_Region_4_North_and_Central_America/USA_United_States_of_America/SC_South_Carolina/USA_SC_JB.Charleston-Charleston.Intl.AP.722080_US.Normals.1991-2020.zip</v>
      </c>
    </row>
    <row r="1574" spans="1:10" x14ac:dyDescent="0.25">
      <c r="A1574" t="s">
        <v>35</v>
      </c>
      <c r="B1574" t="s">
        <v>970</v>
      </c>
      <c r="C1574" t="s">
        <v>979</v>
      </c>
      <c r="D1574" s="2">
        <v>722080</v>
      </c>
      <c r="E1574" t="s">
        <v>13</v>
      </c>
      <c r="F1574">
        <v>32.898600000000002</v>
      </c>
      <c r="G1574">
        <v>-80.040300000000002</v>
      </c>
      <c r="H1574">
        <v>-5</v>
      </c>
      <c r="I1574">
        <v>12.2</v>
      </c>
      <c r="J1574" t="str">
        <f>HYPERLINK("https://climate.onebuilding.org/WMO_Region_4_North_and_Central_America/USA_United_States_of_America/SC_South_Carolina/USA_SC_JB.Charleston-Charleston.Intl.AP.722080_US.Normals.2006-2020.zip")</f>
        <v>https://climate.onebuilding.org/WMO_Region_4_North_and_Central_America/USA_United_States_of_America/SC_South_Carolina/USA_SC_JB.Charleston-Charleston.Intl.AP.722080_US.Normals.2006-2020.zip</v>
      </c>
    </row>
    <row r="1575" spans="1:10" x14ac:dyDescent="0.25">
      <c r="A1575" t="s">
        <v>35</v>
      </c>
      <c r="B1575" t="s">
        <v>970</v>
      </c>
      <c r="C1575" t="s">
        <v>980</v>
      </c>
      <c r="D1575" s="2">
        <v>722085</v>
      </c>
      <c r="E1575" t="s">
        <v>13</v>
      </c>
      <c r="F1575">
        <v>32.4833</v>
      </c>
      <c r="G1575">
        <v>-80.716700000000003</v>
      </c>
      <c r="H1575">
        <v>-5</v>
      </c>
      <c r="I1575">
        <v>11.3</v>
      </c>
      <c r="J1575" t="str">
        <f>HYPERLINK("https://climate.onebuilding.org/WMO_Region_4_North_and_Central_America/USA_United_States_of_America/SC_South_Carolina/USA_SC_MCAS.Beaufort-Merritt.Field.722085_US.Normals.1981-2010.zip")</f>
        <v>https://climate.onebuilding.org/WMO_Region_4_North_and_Central_America/USA_United_States_of_America/SC_South_Carolina/USA_SC_MCAS.Beaufort-Merritt.Field.722085_US.Normals.1981-2010.zip</v>
      </c>
    </row>
    <row r="1576" spans="1:10" x14ac:dyDescent="0.25">
      <c r="A1576" t="s">
        <v>35</v>
      </c>
      <c r="B1576" t="s">
        <v>970</v>
      </c>
      <c r="C1576" t="s">
        <v>980</v>
      </c>
      <c r="D1576" s="2">
        <v>722085</v>
      </c>
      <c r="E1576" t="s">
        <v>13</v>
      </c>
      <c r="F1576">
        <v>32.4833</v>
      </c>
      <c r="G1576">
        <v>-80.716700000000003</v>
      </c>
      <c r="H1576">
        <v>-5</v>
      </c>
      <c r="I1576">
        <v>11.3</v>
      </c>
      <c r="J1576" t="str">
        <f>HYPERLINK("https://climate.onebuilding.org/WMO_Region_4_North_and_Central_America/USA_United_States_of_America/SC_South_Carolina/USA_SC_MCAS.Beaufort-Merritt.Field.722085_US.Normals.1991-2020.zip")</f>
        <v>https://climate.onebuilding.org/WMO_Region_4_North_and_Central_America/USA_United_States_of_America/SC_South_Carolina/USA_SC_MCAS.Beaufort-Merritt.Field.722085_US.Normals.1991-2020.zip</v>
      </c>
    </row>
    <row r="1577" spans="1:10" x14ac:dyDescent="0.25">
      <c r="A1577" t="s">
        <v>35</v>
      </c>
      <c r="B1577" t="s">
        <v>970</v>
      </c>
      <c r="C1577" t="s">
        <v>980</v>
      </c>
      <c r="D1577" s="2">
        <v>722085</v>
      </c>
      <c r="E1577" t="s">
        <v>13</v>
      </c>
      <c r="F1577">
        <v>32.4833</v>
      </c>
      <c r="G1577">
        <v>-80.716700000000003</v>
      </c>
      <c r="H1577">
        <v>-5</v>
      </c>
      <c r="I1577">
        <v>11.3</v>
      </c>
      <c r="J1577" t="str">
        <f>HYPERLINK("https://climate.onebuilding.org/WMO_Region_4_North_and_Central_America/USA_United_States_of_America/SC_South_Carolina/USA_SC_MCAS.Beaufort-Merritt.Field.722085_US.Normals.2006-2020.zip")</f>
        <v>https://climate.onebuilding.org/WMO_Region_4_North_and_Central_America/USA_United_States_of_America/SC_South_Carolina/USA_SC_MCAS.Beaufort-Merritt.Field.722085_US.Normals.2006-2020.zip</v>
      </c>
    </row>
    <row r="1578" spans="1:10" x14ac:dyDescent="0.25">
      <c r="A1578" t="s">
        <v>35</v>
      </c>
      <c r="B1578" t="s">
        <v>970</v>
      </c>
      <c r="C1578" t="s">
        <v>981</v>
      </c>
      <c r="D1578" s="2">
        <v>747850</v>
      </c>
      <c r="E1578" t="s">
        <v>13</v>
      </c>
      <c r="F1578">
        <v>33.153300000000002</v>
      </c>
      <c r="G1578">
        <v>-79.363600000000005</v>
      </c>
      <c r="H1578">
        <v>-5</v>
      </c>
      <c r="I1578">
        <v>2.7</v>
      </c>
      <c r="J1578" t="str">
        <f>HYPERLINK("https://climate.onebuilding.org/WMO_Region_4_North_and_Central_America/USA_United_States_of_America/SC_South_Carolina/USA_SC_McClellanville-Santee.Coastal.Reserve.747850_US.Normals.2006-2020.zip")</f>
        <v>https://climate.onebuilding.org/WMO_Region_4_North_and_Central_America/USA_United_States_of_America/SC_South_Carolina/USA_SC_McClellanville-Santee.Coastal.Reserve.747850_US.Normals.2006-2020.zip</v>
      </c>
    </row>
    <row r="1579" spans="1:10" x14ac:dyDescent="0.25">
      <c r="A1579" t="s">
        <v>35</v>
      </c>
      <c r="B1579" t="s">
        <v>970</v>
      </c>
      <c r="C1579" t="s">
        <v>982</v>
      </c>
      <c r="D1579" s="2">
        <v>747915</v>
      </c>
      <c r="E1579" t="s">
        <v>13</v>
      </c>
      <c r="F1579">
        <v>33.811700000000002</v>
      </c>
      <c r="G1579">
        <v>-78.7239</v>
      </c>
      <c r="H1579">
        <v>-5</v>
      </c>
      <c r="I1579">
        <v>9.8000000000000007</v>
      </c>
      <c r="J1579" t="str">
        <f>HYPERLINK("https://climate.onebuilding.org/WMO_Region_4_North_and_Central_America/USA_United_States_of_America/SC_South_Carolina/USA_SC_North.Myrtle.Beach-Grand.Strand.AP.747915_US.Normals.2006-2020.zip")</f>
        <v>https://climate.onebuilding.org/WMO_Region_4_North_and_Central_America/USA_United_States_of_America/SC_South_Carolina/USA_SC_North.Myrtle.Beach-Grand.Strand.AP.747915_US.Normals.2006-2020.zip</v>
      </c>
    </row>
    <row r="1580" spans="1:10" x14ac:dyDescent="0.25">
      <c r="A1580" t="s">
        <v>35</v>
      </c>
      <c r="B1580" t="s">
        <v>970</v>
      </c>
      <c r="C1580" t="s">
        <v>983</v>
      </c>
      <c r="D1580" s="2">
        <v>723115</v>
      </c>
      <c r="E1580" t="s">
        <v>13</v>
      </c>
      <c r="F1580">
        <v>33.4617</v>
      </c>
      <c r="G1580">
        <v>-80.858099999999993</v>
      </c>
      <c r="H1580">
        <v>-5</v>
      </c>
      <c r="I1580">
        <v>60</v>
      </c>
      <c r="J1580" t="str">
        <f>HYPERLINK("https://climate.onebuilding.org/WMO_Region_4_North_and_Central_America/USA_United_States_of_America/SC_South_Carolina/USA_SC_Orangeburg.Muni.AP.723115_US.Normals.2006-2020.zip")</f>
        <v>https://climate.onebuilding.org/WMO_Region_4_North_and_Central_America/USA_United_States_of_America/SC_South_Carolina/USA_SC_Orangeburg.Muni.AP.723115_US.Normals.2006-2020.zip</v>
      </c>
    </row>
    <row r="1581" spans="1:10" x14ac:dyDescent="0.25">
      <c r="A1581" t="s">
        <v>35</v>
      </c>
      <c r="B1581" t="s">
        <v>970</v>
      </c>
      <c r="C1581" t="s">
        <v>984</v>
      </c>
      <c r="D1581" s="2">
        <v>723117</v>
      </c>
      <c r="E1581" t="s">
        <v>13</v>
      </c>
      <c r="F1581">
        <v>34.986899999999999</v>
      </c>
      <c r="G1581">
        <v>-81.057500000000005</v>
      </c>
      <c r="H1581">
        <v>-5</v>
      </c>
      <c r="I1581">
        <v>203.9</v>
      </c>
      <c r="J1581" t="str">
        <f>HYPERLINK("https://climate.onebuilding.org/WMO_Region_4_North_and_Central_America/USA_United_States_of_America/SC_South_Carolina/USA_SC_Rock.Hill-York.County.AP-Bryant.Field.723117_US.Normals.2006-2020.zip")</f>
        <v>https://climate.onebuilding.org/WMO_Region_4_North_and_Central_America/USA_United_States_of_America/SC_South_Carolina/USA_SC_Rock.Hill-York.County.AP-Bryant.Field.723117_US.Normals.2006-2020.zip</v>
      </c>
    </row>
    <row r="1582" spans="1:10" x14ac:dyDescent="0.25">
      <c r="A1582" t="s">
        <v>35</v>
      </c>
      <c r="B1582" t="s">
        <v>970</v>
      </c>
      <c r="C1582" t="s">
        <v>985</v>
      </c>
      <c r="D1582" s="2">
        <v>723118</v>
      </c>
      <c r="E1582" t="s">
        <v>13</v>
      </c>
      <c r="F1582">
        <v>34.671900000000001</v>
      </c>
      <c r="G1582">
        <v>-82.886399999999995</v>
      </c>
      <c r="H1582">
        <v>-6</v>
      </c>
      <c r="I1582">
        <v>271.60000000000002</v>
      </c>
      <c r="J1582" t="str">
        <f>HYPERLINK("https://climate.onebuilding.org/WMO_Region_4_North_and_Central_America/USA_United_States_of_America/SC_South_Carolina/USA_SC_Seneca-Oconee.County.Rgnl.AP.723118_US.Normals.2006-2020.zip")</f>
        <v>https://climate.onebuilding.org/WMO_Region_4_North_and_Central_America/USA_United_States_of_America/SC_South_Carolina/USA_SC_Seneca-Oconee.County.Rgnl.AP.723118_US.Normals.2006-2020.zip</v>
      </c>
    </row>
    <row r="1583" spans="1:10" x14ac:dyDescent="0.25">
      <c r="A1583" t="s">
        <v>35</v>
      </c>
      <c r="B1583" t="s">
        <v>970</v>
      </c>
      <c r="C1583" t="s">
        <v>986</v>
      </c>
      <c r="D1583" s="2">
        <v>747900</v>
      </c>
      <c r="E1583" t="s">
        <v>13</v>
      </c>
      <c r="F1583">
        <v>33.966700000000003</v>
      </c>
      <c r="G1583">
        <v>-80.466700000000003</v>
      </c>
      <c r="H1583">
        <v>-5</v>
      </c>
      <c r="I1583">
        <v>74.099999999999994</v>
      </c>
      <c r="J1583" t="str">
        <f>HYPERLINK("https://climate.onebuilding.org/WMO_Region_4_North_and_Central_America/USA_United_States_of_America/SC_South_Carolina/USA_SC_Sumter-Shaw.AFB.747900_US.Normals.1981-2010.zip")</f>
        <v>https://climate.onebuilding.org/WMO_Region_4_North_and_Central_America/USA_United_States_of_America/SC_South_Carolina/USA_SC_Sumter-Shaw.AFB.747900_US.Normals.1981-2010.zip</v>
      </c>
    </row>
    <row r="1584" spans="1:10" x14ac:dyDescent="0.25">
      <c r="A1584" t="s">
        <v>35</v>
      </c>
      <c r="B1584" t="s">
        <v>970</v>
      </c>
      <c r="C1584" t="s">
        <v>986</v>
      </c>
      <c r="D1584" s="2">
        <v>747900</v>
      </c>
      <c r="E1584" t="s">
        <v>13</v>
      </c>
      <c r="F1584">
        <v>33.966700000000003</v>
      </c>
      <c r="G1584">
        <v>-80.466700000000003</v>
      </c>
      <c r="H1584">
        <v>-5</v>
      </c>
      <c r="I1584">
        <v>74.099999999999994</v>
      </c>
      <c r="J1584" t="str">
        <f>HYPERLINK("https://climate.onebuilding.org/WMO_Region_4_North_and_Central_America/USA_United_States_of_America/SC_South_Carolina/USA_SC_Sumter-Shaw.AFB.747900_US.Normals.1991-2020.zip")</f>
        <v>https://climate.onebuilding.org/WMO_Region_4_North_and_Central_America/USA_United_States_of_America/SC_South_Carolina/USA_SC_Sumter-Shaw.AFB.747900_US.Normals.1991-2020.zip</v>
      </c>
    </row>
    <row r="1585" spans="1:10" x14ac:dyDescent="0.25">
      <c r="A1585" t="s">
        <v>35</v>
      </c>
      <c r="B1585" t="s">
        <v>970</v>
      </c>
      <c r="C1585" t="s">
        <v>986</v>
      </c>
      <c r="D1585" s="2">
        <v>747900</v>
      </c>
      <c r="E1585" t="s">
        <v>13</v>
      </c>
      <c r="F1585">
        <v>33.966700000000003</v>
      </c>
      <c r="G1585">
        <v>-80.466700000000003</v>
      </c>
      <c r="H1585">
        <v>-5</v>
      </c>
      <c r="I1585">
        <v>74.099999999999994</v>
      </c>
      <c r="J1585" t="str">
        <f>HYPERLINK("https://climate.onebuilding.org/WMO_Region_4_North_and_Central_America/USA_United_States_of_America/SC_South_Carolina/USA_SC_Sumter-Shaw.AFB.747900_US.Normals.2006-2020.zip")</f>
        <v>https://climate.onebuilding.org/WMO_Region_4_North_and_Central_America/USA_United_States_of_America/SC_South_Carolina/USA_SC_Sumter-Shaw.AFB.747900_US.Normals.2006-2020.zip</v>
      </c>
    </row>
    <row r="1586" spans="1:10" x14ac:dyDescent="0.25">
      <c r="A1586" t="s">
        <v>35</v>
      </c>
      <c r="B1586" t="s">
        <v>987</v>
      </c>
      <c r="C1586" t="s">
        <v>988</v>
      </c>
      <c r="D1586" s="2">
        <v>726590</v>
      </c>
      <c r="E1586" t="s">
        <v>13</v>
      </c>
      <c r="F1586">
        <v>45.455800000000004</v>
      </c>
      <c r="G1586">
        <v>-98.4131</v>
      </c>
      <c r="H1586">
        <v>-7</v>
      </c>
      <c r="I1586">
        <v>396.8</v>
      </c>
      <c r="J1586" t="str">
        <f>HYPERLINK("https://climate.onebuilding.org/WMO_Region_4_North_and_Central_America/USA_United_States_of_America/SD_South_Dakota/USA_SD_Aberdeen.Rgnl.AP.726590_US.Normals.1981-2010.zip")</f>
        <v>https://climate.onebuilding.org/WMO_Region_4_North_and_Central_America/USA_United_States_of_America/SD_South_Dakota/USA_SD_Aberdeen.Rgnl.AP.726590_US.Normals.1981-2010.zip</v>
      </c>
    </row>
    <row r="1587" spans="1:10" x14ac:dyDescent="0.25">
      <c r="A1587" t="s">
        <v>35</v>
      </c>
      <c r="B1587" t="s">
        <v>987</v>
      </c>
      <c r="C1587" t="s">
        <v>988</v>
      </c>
      <c r="D1587" s="2">
        <v>726590</v>
      </c>
      <c r="E1587" t="s">
        <v>13</v>
      </c>
      <c r="F1587">
        <v>45.455800000000004</v>
      </c>
      <c r="G1587">
        <v>-98.4131</v>
      </c>
      <c r="H1587">
        <v>-7</v>
      </c>
      <c r="I1587">
        <v>396.8</v>
      </c>
      <c r="J1587" t="str">
        <f>HYPERLINK("https://climate.onebuilding.org/WMO_Region_4_North_and_Central_America/USA_United_States_of_America/SD_South_Dakota/USA_SD_Aberdeen.Rgnl.AP.726590_US.Normals.1991-2020.zip")</f>
        <v>https://climate.onebuilding.org/WMO_Region_4_North_and_Central_America/USA_United_States_of_America/SD_South_Dakota/USA_SD_Aberdeen.Rgnl.AP.726590_US.Normals.1991-2020.zip</v>
      </c>
    </row>
    <row r="1588" spans="1:10" x14ac:dyDescent="0.25">
      <c r="A1588" t="s">
        <v>35</v>
      </c>
      <c r="B1588" t="s">
        <v>987</v>
      </c>
      <c r="C1588" t="s">
        <v>988</v>
      </c>
      <c r="D1588" s="2">
        <v>726590</v>
      </c>
      <c r="E1588" t="s">
        <v>13</v>
      </c>
      <c r="F1588">
        <v>45.455800000000004</v>
      </c>
      <c r="G1588">
        <v>-98.4131</v>
      </c>
      <c r="H1588">
        <v>-7</v>
      </c>
      <c r="I1588">
        <v>396.8</v>
      </c>
      <c r="J1588" t="str">
        <f>HYPERLINK("https://climate.onebuilding.org/WMO_Region_4_North_and_Central_America/USA_United_States_of_America/SD_South_Dakota/USA_SD_Aberdeen.Rgnl.AP.726590_US.Normals.2006-2020.zip")</f>
        <v>https://climate.onebuilding.org/WMO_Region_4_North_and_Central_America/USA_United_States_of_America/SD_South_Dakota/USA_SD_Aberdeen.Rgnl.AP.726590_US.Normals.2006-2020.zip</v>
      </c>
    </row>
    <row r="1589" spans="1:10" x14ac:dyDescent="0.25">
      <c r="A1589" t="s">
        <v>35</v>
      </c>
      <c r="B1589" t="s">
        <v>987</v>
      </c>
      <c r="C1589" t="s">
        <v>989</v>
      </c>
      <c r="D1589" s="2">
        <v>726640</v>
      </c>
      <c r="E1589" t="s">
        <v>13</v>
      </c>
      <c r="F1589">
        <v>45.516100000000002</v>
      </c>
      <c r="G1589">
        <v>-103.3017</v>
      </c>
      <c r="H1589">
        <v>-7</v>
      </c>
      <c r="I1589">
        <v>878.7</v>
      </c>
      <c r="J1589" t="str">
        <f>HYPERLINK("https://climate.onebuilding.org/WMO_Region_4_North_and_Central_America/USA_United_States_of_America/SD_South_Dakota/USA_SD_Buffalo-State.Experimental.Farm.and.Antelope.Reserve.726640_US.Normals.2006-2020.zip")</f>
        <v>https://climate.onebuilding.org/WMO_Region_4_North_and_Central_America/USA_United_States_of_America/SD_South_Dakota/USA_SD_Buffalo-State.Experimental.Farm.and.Antelope.Reserve.726640_US.Normals.2006-2020.zip</v>
      </c>
    </row>
    <row r="1590" spans="1:10" x14ac:dyDescent="0.25">
      <c r="A1590" t="s">
        <v>35</v>
      </c>
      <c r="B1590" t="s">
        <v>987</v>
      </c>
      <c r="C1590" t="s">
        <v>990</v>
      </c>
      <c r="D1590" s="2">
        <v>726627</v>
      </c>
      <c r="E1590" t="s">
        <v>13</v>
      </c>
      <c r="F1590">
        <v>45.604399999999998</v>
      </c>
      <c r="G1590">
        <v>-103.54640000000001</v>
      </c>
      <c r="H1590">
        <v>-7</v>
      </c>
      <c r="I1590">
        <v>915.6</v>
      </c>
      <c r="J1590" t="str">
        <f>HYPERLINK("https://climate.onebuilding.org/WMO_Region_4_North_and_Central_America/USA_United_States_of_America/SD_South_Dakota/USA_SD_Buffalo.726627_US.Normals.2006-2020.zip")</f>
        <v>https://climate.onebuilding.org/WMO_Region_4_North_and_Central_America/USA_United_States_of_America/SD_South_Dakota/USA_SD_Buffalo.726627_US.Normals.2006-2020.zip</v>
      </c>
    </row>
    <row r="1591" spans="1:10" x14ac:dyDescent="0.25">
      <c r="A1591" t="s">
        <v>35</v>
      </c>
      <c r="B1591" t="s">
        <v>987</v>
      </c>
      <c r="C1591" t="s">
        <v>991</v>
      </c>
      <c r="D1591" s="2">
        <v>726530</v>
      </c>
      <c r="E1591" t="s">
        <v>13</v>
      </c>
      <c r="F1591">
        <v>43.7667</v>
      </c>
      <c r="G1591">
        <v>-99.318299999999994</v>
      </c>
      <c r="H1591">
        <v>-7</v>
      </c>
      <c r="I1591">
        <v>519.1</v>
      </c>
      <c r="J1591" t="str">
        <f>HYPERLINK("https://climate.onebuilding.org/WMO_Region_4_North_and_Central_America/USA_United_States_of_America/SD_South_Dakota/USA_SD_Chamberlain.Muni.AP.726530_US.Normals.2006-2020.zip")</f>
        <v>https://climate.onebuilding.org/WMO_Region_4_North_and_Central_America/USA_United_States_of_America/SD_South_Dakota/USA_SD_Chamberlain.Muni.AP.726530_US.Normals.2006-2020.zip</v>
      </c>
    </row>
    <row r="1592" spans="1:10" x14ac:dyDescent="0.25">
      <c r="A1592" t="s">
        <v>35</v>
      </c>
      <c r="B1592" t="s">
        <v>987</v>
      </c>
      <c r="C1592" t="s">
        <v>992</v>
      </c>
      <c r="D1592" s="2">
        <v>726514</v>
      </c>
      <c r="E1592" t="s">
        <v>13</v>
      </c>
      <c r="F1592">
        <v>43.7331</v>
      </c>
      <c r="G1592">
        <v>-103.6114</v>
      </c>
      <c r="H1592">
        <v>-7</v>
      </c>
      <c r="I1592">
        <v>1690.1</v>
      </c>
      <c r="J1592" t="str">
        <f>HYPERLINK("https://climate.onebuilding.org/WMO_Region_4_North_and_Central_America/USA_United_States_of_America/SD_South_Dakota/USA_SD_Custer.County.AP.726514_US.Normals.1991-2020.zip")</f>
        <v>https://climate.onebuilding.org/WMO_Region_4_North_and_Central_America/USA_United_States_of_America/SD_South_Dakota/USA_SD_Custer.County.AP.726514_US.Normals.1991-2020.zip</v>
      </c>
    </row>
    <row r="1593" spans="1:10" x14ac:dyDescent="0.25">
      <c r="A1593" t="s">
        <v>35</v>
      </c>
      <c r="B1593" t="s">
        <v>987</v>
      </c>
      <c r="C1593" t="s">
        <v>992</v>
      </c>
      <c r="D1593" s="2">
        <v>726514</v>
      </c>
      <c r="E1593" t="s">
        <v>13</v>
      </c>
      <c r="F1593">
        <v>43.7331</v>
      </c>
      <c r="G1593">
        <v>-103.6114</v>
      </c>
      <c r="H1593">
        <v>-7</v>
      </c>
      <c r="I1593">
        <v>1690.1</v>
      </c>
      <c r="J1593" t="str">
        <f>HYPERLINK("https://climate.onebuilding.org/WMO_Region_4_North_and_Central_America/USA_United_States_of_America/SD_South_Dakota/USA_SD_Custer.County.AP.726514_US.Normals.2006-2020.zip")</f>
        <v>https://climate.onebuilding.org/WMO_Region_4_North_and_Central_America/USA_United_States_of_America/SD_South_Dakota/USA_SD_Custer.County.AP.726514_US.Normals.2006-2020.zip</v>
      </c>
    </row>
    <row r="1594" spans="1:10" x14ac:dyDescent="0.25">
      <c r="A1594" t="s">
        <v>35</v>
      </c>
      <c r="B1594" t="s">
        <v>987</v>
      </c>
      <c r="C1594" t="s">
        <v>993</v>
      </c>
      <c r="D1594" s="2">
        <v>726539</v>
      </c>
      <c r="E1594" t="s">
        <v>13</v>
      </c>
      <c r="F1594">
        <v>45.0319</v>
      </c>
      <c r="G1594">
        <v>-102.0192</v>
      </c>
      <c r="H1594">
        <v>-7</v>
      </c>
      <c r="I1594">
        <v>786.4</v>
      </c>
      <c r="J1594" t="str">
        <f>HYPERLINK("https://climate.onebuilding.org/WMO_Region_4_North_and_Central_America/USA_United_States_of_America/SD_South_Dakota/USA_SD_Faith.Muni.AP.726539_US.Normals.2006-2020.zip")</f>
        <v>https://climate.onebuilding.org/WMO_Region_4_North_and_Central_America/USA_United_States_of_America/SD_South_Dakota/USA_SD_Faith.Muni.AP.726539_US.Normals.2006-2020.zip</v>
      </c>
    </row>
    <row r="1595" spans="1:10" x14ac:dyDescent="0.25">
      <c r="A1595" t="s">
        <v>35</v>
      </c>
      <c r="B1595" t="s">
        <v>987</v>
      </c>
      <c r="C1595" t="s">
        <v>994</v>
      </c>
      <c r="D1595" s="2">
        <v>726630</v>
      </c>
      <c r="E1595" t="s">
        <v>13</v>
      </c>
      <c r="F1595">
        <v>44.019399999999997</v>
      </c>
      <c r="G1595">
        <v>-100.3531</v>
      </c>
      <c r="H1595">
        <v>-7</v>
      </c>
      <c r="I1595">
        <v>647.4</v>
      </c>
      <c r="J1595" t="str">
        <f>HYPERLINK("https://climate.onebuilding.org/WMO_Region_4_North_and_Central_America/USA_United_States_of_America/SD_South_Dakota/USA_SD_Ft.Pierre.Natl.Grassland.726630_US.Normals.2006-2020.zip")</f>
        <v>https://climate.onebuilding.org/WMO_Region_4_North_and_Central_America/USA_United_States_of_America/SD_South_Dakota/USA_SD_Ft.Pierre.Natl.Grassland.726630_US.Normals.2006-2020.zip</v>
      </c>
    </row>
    <row r="1596" spans="1:10" x14ac:dyDescent="0.25">
      <c r="A1596" t="s">
        <v>35</v>
      </c>
      <c r="B1596" t="s">
        <v>987</v>
      </c>
      <c r="C1596" t="s">
        <v>995</v>
      </c>
      <c r="D1596" s="2">
        <v>726540</v>
      </c>
      <c r="E1596" t="s">
        <v>13</v>
      </c>
      <c r="F1596">
        <v>44.398099999999999</v>
      </c>
      <c r="G1596">
        <v>-98.223100000000002</v>
      </c>
      <c r="H1596">
        <v>-7</v>
      </c>
      <c r="I1596">
        <v>390.1</v>
      </c>
      <c r="J1596" t="str">
        <f>HYPERLINK("https://climate.onebuilding.org/WMO_Region_4_North_and_Central_America/USA_United_States_of_America/SD_South_Dakota/USA_SD_Huron.Rgnl.AP.726540_US.Normals.1981-2010.zip")</f>
        <v>https://climate.onebuilding.org/WMO_Region_4_North_and_Central_America/USA_United_States_of_America/SD_South_Dakota/USA_SD_Huron.Rgnl.AP.726540_US.Normals.1981-2010.zip</v>
      </c>
    </row>
    <row r="1597" spans="1:10" x14ac:dyDescent="0.25">
      <c r="A1597" t="s">
        <v>35</v>
      </c>
      <c r="B1597" t="s">
        <v>987</v>
      </c>
      <c r="C1597" t="s">
        <v>995</v>
      </c>
      <c r="D1597" s="2">
        <v>726540</v>
      </c>
      <c r="E1597" t="s">
        <v>13</v>
      </c>
      <c r="F1597">
        <v>44.398099999999999</v>
      </c>
      <c r="G1597">
        <v>-98.223100000000002</v>
      </c>
      <c r="H1597">
        <v>-7</v>
      </c>
      <c r="I1597">
        <v>390.1</v>
      </c>
      <c r="J1597" t="str">
        <f>HYPERLINK("https://climate.onebuilding.org/WMO_Region_4_North_and_Central_America/USA_United_States_of_America/SD_South_Dakota/USA_SD_Huron.Rgnl.AP.726540_US.Normals.1991-2020.zip")</f>
        <v>https://climate.onebuilding.org/WMO_Region_4_North_and_Central_America/USA_United_States_of_America/SD_South_Dakota/USA_SD_Huron.Rgnl.AP.726540_US.Normals.1991-2020.zip</v>
      </c>
    </row>
    <row r="1598" spans="1:10" x14ac:dyDescent="0.25">
      <c r="A1598" t="s">
        <v>35</v>
      </c>
      <c r="B1598" t="s">
        <v>987</v>
      </c>
      <c r="C1598" t="s">
        <v>995</v>
      </c>
      <c r="D1598" s="2">
        <v>726540</v>
      </c>
      <c r="E1598" t="s">
        <v>13</v>
      </c>
      <c r="F1598">
        <v>44.398099999999999</v>
      </c>
      <c r="G1598">
        <v>-98.223100000000002</v>
      </c>
      <c r="H1598">
        <v>-7</v>
      </c>
      <c r="I1598">
        <v>390.1</v>
      </c>
      <c r="J1598" t="str">
        <f>HYPERLINK("https://climate.onebuilding.org/WMO_Region_4_North_and_Central_America/USA_United_States_of_America/SD_South_Dakota/USA_SD_Huron.Rgnl.AP.726540_US.Normals.2006-2020.zip")</f>
        <v>https://climate.onebuilding.org/WMO_Region_4_North_and_Central_America/USA_United_States_of_America/SD_South_Dakota/USA_SD_Huron.Rgnl.AP.726540_US.Normals.2006-2020.zip</v>
      </c>
    </row>
    <row r="1599" spans="1:10" x14ac:dyDescent="0.25">
      <c r="A1599" t="s">
        <v>35</v>
      </c>
      <c r="B1599" t="s">
        <v>987</v>
      </c>
      <c r="C1599" t="s">
        <v>996</v>
      </c>
      <c r="D1599" s="2">
        <v>726545</v>
      </c>
      <c r="E1599" t="s">
        <v>13</v>
      </c>
      <c r="F1599">
        <v>43.7667</v>
      </c>
      <c r="G1599">
        <v>-98.033299999999997</v>
      </c>
      <c r="H1599">
        <v>-7</v>
      </c>
      <c r="I1599">
        <v>397.2</v>
      </c>
      <c r="J1599" t="str">
        <f>HYPERLINK("https://climate.onebuilding.org/WMO_Region_4_North_and_Central_America/USA_United_States_of_America/SD_South_Dakota/USA_SD_Mitchell.Muni.AP.726545_US.Normals.1991-2020.zip")</f>
        <v>https://climate.onebuilding.org/WMO_Region_4_North_and_Central_America/USA_United_States_of_America/SD_South_Dakota/USA_SD_Mitchell.Muni.AP.726545_US.Normals.1991-2020.zip</v>
      </c>
    </row>
    <row r="1600" spans="1:10" x14ac:dyDescent="0.25">
      <c r="A1600" t="s">
        <v>35</v>
      </c>
      <c r="B1600" t="s">
        <v>987</v>
      </c>
      <c r="C1600" t="s">
        <v>996</v>
      </c>
      <c r="D1600" s="2">
        <v>726545</v>
      </c>
      <c r="E1600" t="s">
        <v>13</v>
      </c>
      <c r="F1600">
        <v>43.7667</v>
      </c>
      <c r="G1600">
        <v>-98.033299999999997</v>
      </c>
      <c r="H1600">
        <v>-7</v>
      </c>
      <c r="I1600">
        <v>397.2</v>
      </c>
      <c r="J1600" t="str">
        <f>HYPERLINK("https://climate.onebuilding.org/WMO_Region_4_North_and_Central_America/USA_United_States_of_America/SD_South_Dakota/USA_SD_Mitchell.Muni.AP.726545_US.Normals.2006-2020.zip")</f>
        <v>https://climate.onebuilding.org/WMO_Region_4_North_and_Central_America/USA_United_States_of_America/SD_South_Dakota/USA_SD_Mitchell.Muni.AP.726545_US.Normals.2006-2020.zip</v>
      </c>
    </row>
    <row r="1601" spans="1:10" x14ac:dyDescent="0.25">
      <c r="A1601" t="s">
        <v>35</v>
      </c>
      <c r="B1601" t="s">
        <v>987</v>
      </c>
      <c r="C1601" t="s">
        <v>997</v>
      </c>
      <c r="D1601" s="2">
        <v>726685</v>
      </c>
      <c r="E1601" t="s">
        <v>13</v>
      </c>
      <c r="F1601">
        <v>45.546399999999998</v>
      </c>
      <c r="G1601">
        <v>-100.40779999999999</v>
      </c>
      <c r="H1601">
        <v>-7</v>
      </c>
      <c r="I1601">
        <v>522.70000000000005</v>
      </c>
      <c r="J1601" t="str">
        <f>HYPERLINK("https://climate.onebuilding.org/WMO_Region_4_North_and_Central_America/USA_United_States_of_America/SD_South_Dakota/USA_SD_Mobridge.Muni.AP.726685_US.Normals.2006-2020.zip")</f>
        <v>https://climate.onebuilding.org/WMO_Region_4_North_and_Central_America/USA_United_States_of_America/SD_South_Dakota/USA_SD_Mobridge.Muni.AP.726685_US.Normals.2006-2020.zip</v>
      </c>
    </row>
    <row r="1602" spans="1:10" x14ac:dyDescent="0.25">
      <c r="A1602" t="s">
        <v>35</v>
      </c>
      <c r="B1602" t="s">
        <v>987</v>
      </c>
      <c r="C1602" t="s">
        <v>998</v>
      </c>
      <c r="D1602" s="2">
        <v>726670</v>
      </c>
      <c r="E1602" t="s">
        <v>13</v>
      </c>
      <c r="F1602">
        <v>45.711399999999998</v>
      </c>
      <c r="G1602">
        <v>-99.1297</v>
      </c>
      <c r="H1602">
        <v>-7</v>
      </c>
      <c r="I1602">
        <v>596.5</v>
      </c>
      <c r="J1602" t="str">
        <f>HYPERLINK("https://climate.onebuilding.org/WMO_Region_4_North_and_Central_America/USA_United_States_of_America/SD_South_Dakota/USA_SD_Nature.Conservancy-Ordway.726670_US.Normals.2006-2020.zip")</f>
        <v>https://climate.onebuilding.org/WMO_Region_4_North_and_Central_America/USA_United_States_of_America/SD_South_Dakota/USA_SD_Nature.Conservancy-Ordway.726670_US.Normals.2006-2020.zip</v>
      </c>
    </row>
    <row r="1603" spans="1:10" x14ac:dyDescent="0.25">
      <c r="A1603" t="s">
        <v>35</v>
      </c>
      <c r="B1603" t="s">
        <v>987</v>
      </c>
      <c r="C1603" t="s">
        <v>999</v>
      </c>
      <c r="D1603" s="2">
        <v>726516</v>
      </c>
      <c r="E1603" t="s">
        <v>13</v>
      </c>
      <c r="F1603">
        <v>44.051099999999998</v>
      </c>
      <c r="G1603">
        <v>-101.6011</v>
      </c>
      <c r="H1603">
        <v>-7</v>
      </c>
      <c r="I1603">
        <v>672.4</v>
      </c>
      <c r="J1603" t="str">
        <f>HYPERLINK("https://climate.onebuilding.org/WMO_Region_4_North_and_Central_America/USA_United_States_of_America/SD_South_Dakota/USA_SD_Philip.Muni.AP.726516_US.Normals.2006-2020.zip")</f>
        <v>https://climate.onebuilding.org/WMO_Region_4_North_and_Central_America/USA_United_States_of_America/SD_South_Dakota/USA_SD_Philip.Muni.AP.726516_US.Normals.2006-2020.zip</v>
      </c>
    </row>
    <row r="1604" spans="1:10" x14ac:dyDescent="0.25">
      <c r="A1604" t="s">
        <v>35</v>
      </c>
      <c r="B1604" t="s">
        <v>987</v>
      </c>
      <c r="C1604" t="s">
        <v>1000</v>
      </c>
      <c r="D1604" s="2">
        <v>726517</v>
      </c>
      <c r="E1604" t="s">
        <v>13</v>
      </c>
      <c r="F1604">
        <v>43.020600000000002</v>
      </c>
      <c r="G1604">
        <v>-102.5183</v>
      </c>
      <c r="H1604">
        <v>-7</v>
      </c>
      <c r="I1604">
        <v>999.1</v>
      </c>
      <c r="J1604" t="str">
        <f>HYPERLINK("https://climate.onebuilding.org/WMO_Region_4_North_and_Central_America/USA_United_States_of_America/SD_South_Dakota/USA_SD_Pine.Ridge.AP.726517_US.Normals.2006-2020.zip")</f>
        <v>https://climate.onebuilding.org/WMO_Region_4_North_and_Central_America/USA_United_States_of_America/SD_South_Dakota/USA_SD_Pine.Ridge.AP.726517_US.Normals.2006-2020.zip</v>
      </c>
    </row>
    <row r="1605" spans="1:10" x14ac:dyDescent="0.25">
      <c r="A1605" t="s">
        <v>35</v>
      </c>
      <c r="B1605" t="s">
        <v>987</v>
      </c>
      <c r="C1605" t="s">
        <v>1001</v>
      </c>
      <c r="D1605" s="2">
        <v>726625</v>
      </c>
      <c r="E1605" t="s">
        <v>13</v>
      </c>
      <c r="F1605">
        <v>44.15</v>
      </c>
      <c r="G1605">
        <v>-103.1</v>
      </c>
      <c r="H1605">
        <v>-7</v>
      </c>
      <c r="I1605">
        <v>979.9</v>
      </c>
      <c r="J1605" t="str">
        <f>HYPERLINK("https://climate.onebuilding.org/WMO_Region_4_North_and_Central_America/USA_United_States_of_America/SD_South_Dakota/USA_SD_Rapid.City-Ellsworth.AFB.726625_US.Normals.1981-2010.zip")</f>
        <v>https://climate.onebuilding.org/WMO_Region_4_North_and_Central_America/USA_United_States_of_America/SD_South_Dakota/USA_SD_Rapid.City-Ellsworth.AFB.726625_US.Normals.1981-2010.zip</v>
      </c>
    </row>
    <row r="1606" spans="1:10" x14ac:dyDescent="0.25">
      <c r="A1606" t="s">
        <v>35</v>
      </c>
      <c r="B1606" t="s">
        <v>987</v>
      </c>
      <c r="C1606" t="s">
        <v>1001</v>
      </c>
      <c r="D1606" s="2">
        <v>726625</v>
      </c>
      <c r="E1606" t="s">
        <v>13</v>
      </c>
      <c r="F1606">
        <v>44.15</v>
      </c>
      <c r="G1606">
        <v>-103.1</v>
      </c>
      <c r="H1606">
        <v>-7</v>
      </c>
      <c r="I1606">
        <v>979.9</v>
      </c>
      <c r="J1606" t="str">
        <f>HYPERLINK("https://climate.onebuilding.org/WMO_Region_4_North_and_Central_America/USA_United_States_of_America/SD_South_Dakota/USA_SD_Rapid.City-Ellsworth.AFB.726625_US.Normals.1991-2020.zip")</f>
        <v>https://climate.onebuilding.org/WMO_Region_4_North_and_Central_America/USA_United_States_of_America/SD_South_Dakota/USA_SD_Rapid.City-Ellsworth.AFB.726625_US.Normals.1991-2020.zip</v>
      </c>
    </row>
    <row r="1607" spans="1:10" x14ac:dyDescent="0.25">
      <c r="A1607" t="s">
        <v>35</v>
      </c>
      <c r="B1607" t="s">
        <v>987</v>
      </c>
      <c r="C1607" t="s">
        <v>1001</v>
      </c>
      <c r="D1607" s="2">
        <v>726625</v>
      </c>
      <c r="E1607" t="s">
        <v>13</v>
      </c>
      <c r="F1607">
        <v>44.15</v>
      </c>
      <c r="G1607">
        <v>-103.1</v>
      </c>
      <c r="H1607">
        <v>-7</v>
      </c>
      <c r="I1607">
        <v>979.9</v>
      </c>
      <c r="J1607" t="str">
        <f>HYPERLINK("https://climate.onebuilding.org/WMO_Region_4_North_and_Central_America/USA_United_States_of_America/SD_South_Dakota/USA_SD_Rapid.City-Ellsworth.AFB.726625_US.Normals.2006-2020.zip")</f>
        <v>https://climate.onebuilding.org/WMO_Region_4_North_and_Central_America/USA_United_States_of_America/SD_South_Dakota/USA_SD_Rapid.City-Ellsworth.AFB.726625_US.Normals.2006-2020.zip</v>
      </c>
    </row>
    <row r="1608" spans="1:10" x14ac:dyDescent="0.25">
      <c r="A1608" t="s">
        <v>35</v>
      </c>
      <c r="B1608" t="s">
        <v>987</v>
      </c>
      <c r="C1608" t="s">
        <v>1002</v>
      </c>
      <c r="D1608" s="2">
        <v>726620</v>
      </c>
      <c r="E1608" t="s">
        <v>13</v>
      </c>
      <c r="F1608">
        <v>44.043300000000002</v>
      </c>
      <c r="G1608">
        <v>-103.0536</v>
      </c>
      <c r="H1608">
        <v>-7</v>
      </c>
      <c r="I1608">
        <v>963.2</v>
      </c>
      <c r="J1608" t="str">
        <f>HYPERLINK("https://climate.onebuilding.org/WMO_Region_4_North_and_Central_America/USA_United_States_of_America/SD_South_Dakota/USA_SD_Rapid.City.Rgnl.AP.726620_US.Normals.1981-2010.zip")</f>
        <v>https://climate.onebuilding.org/WMO_Region_4_North_and_Central_America/USA_United_States_of_America/SD_South_Dakota/USA_SD_Rapid.City.Rgnl.AP.726620_US.Normals.1981-2010.zip</v>
      </c>
    </row>
    <row r="1609" spans="1:10" x14ac:dyDescent="0.25">
      <c r="A1609" t="s">
        <v>35</v>
      </c>
      <c r="B1609" t="s">
        <v>987</v>
      </c>
      <c r="C1609" t="s">
        <v>1002</v>
      </c>
      <c r="D1609" s="2">
        <v>726620</v>
      </c>
      <c r="E1609" t="s">
        <v>13</v>
      </c>
      <c r="F1609">
        <v>44.043300000000002</v>
      </c>
      <c r="G1609">
        <v>-103.0536</v>
      </c>
      <c r="H1609">
        <v>-7</v>
      </c>
      <c r="I1609">
        <v>963.2</v>
      </c>
      <c r="J1609" t="str">
        <f>HYPERLINK("https://climate.onebuilding.org/WMO_Region_4_North_and_Central_America/USA_United_States_of_America/SD_South_Dakota/USA_SD_Rapid.City.Rgnl.AP.726620_US.Normals.1991-2020.zip")</f>
        <v>https://climate.onebuilding.org/WMO_Region_4_North_and_Central_America/USA_United_States_of_America/SD_South_Dakota/USA_SD_Rapid.City.Rgnl.AP.726620_US.Normals.1991-2020.zip</v>
      </c>
    </row>
    <row r="1610" spans="1:10" x14ac:dyDescent="0.25">
      <c r="A1610" t="s">
        <v>35</v>
      </c>
      <c r="B1610" t="s">
        <v>987</v>
      </c>
      <c r="C1610" t="s">
        <v>1002</v>
      </c>
      <c r="D1610" s="2">
        <v>726620</v>
      </c>
      <c r="E1610" t="s">
        <v>13</v>
      </c>
      <c r="F1610">
        <v>44.043300000000002</v>
      </c>
      <c r="G1610">
        <v>-103.0536</v>
      </c>
      <c r="H1610">
        <v>-7</v>
      </c>
      <c r="I1610">
        <v>963.2</v>
      </c>
      <c r="J1610" t="str">
        <f>HYPERLINK("https://climate.onebuilding.org/WMO_Region_4_North_and_Central_America/USA_United_States_of_America/SD_South_Dakota/USA_SD_Rapid.City.Rgnl.AP.726620_US.Normals.2006-2020.zip")</f>
        <v>https://climate.onebuilding.org/WMO_Region_4_North_and_Central_America/USA_United_States_of_America/SD_South_Dakota/USA_SD_Rapid.City.Rgnl.AP.726620_US.Normals.2006-2020.zip</v>
      </c>
    </row>
    <row r="1611" spans="1:10" x14ac:dyDescent="0.25">
      <c r="A1611" t="s">
        <v>35</v>
      </c>
      <c r="B1611" t="s">
        <v>987</v>
      </c>
      <c r="C1611" t="s">
        <v>1003</v>
      </c>
      <c r="D1611" s="2">
        <v>711680</v>
      </c>
      <c r="E1611" t="s">
        <v>13</v>
      </c>
      <c r="F1611">
        <v>43.734699999999997</v>
      </c>
      <c r="G1611">
        <v>-96.622200000000007</v>
      </c>
      <c r="H1611">
        <v>-6</v>
      </c>
      <c r="I1611">
        <v>485.9</v>
      </c>
      <c r="J1611" t="str">
        <f>HYPERLINK("https://climate.onebuilding.org/WMO_Region_4_North_and_Central_America/USA_United_States_of_America/SD_South_Dakota/USA_SD_Sioux.Falls.Climate.SURFRAD.711680_US.Normals.2006-2020.zip")</f>
        <v>https://climate.onebuilding.org/WMO_Region_4_North_and_Central_America/USA_United_States_of_America/SD_South_Dakota/USA_SD_Sioux.Falls.Climate.SURFRAD.711680_US.Normals.2006-2020.zip</v>
      </c>
    </row>
    <row r="1612" spans="1:10" x14ac:dyDescent="0.25">
      <c r="A1612" t="s">
        <v>35</v>
      </c>
      <c r="B1612" t="s">
        <v>987</v>
      </c>
      <c r="C1612" t="s">
        <v>1004</v>
      </c>
      <c r="D1612" s="2">
        <v>726510</v>
      </c>
      <c r="E1612" t="s">
        <v>13</v>
      </c>
      <c r="F1612">
        <v>43.587800000000001</v>
      </c>
      <c r="G1612">
        <v>-96.728899999999996</v>
      </c>
      <c r="H1612">
        <v>-6</v>
      </c>
      <c r="I1612">
        <v>435.9</v>
      </c>
      <c r="J1612" t="str">
        <f>HYPERLINK("https://climate.onebuilding.org/WMO_Region_4_North_and_Central_America/USA_United_States_of_America/SD_South_Dakota/USA_SD_Sioux.Falls.Rgnl.AP-Foss.Field.726510_US.Normals.1981-2010.zip")</f>
        <v>https://climate.onebuilding.org/WMO_Region_4_North_and_Central_America/USA_United_States_of_America/SD_South_Dakota/USA_SD_Sioux.Falls.Rgnl.AP-Foss.Field.726510_US.Normals.1981-2010.zip</v>
      </c>
    </row>
    <row r="1613" spans="1:10" x14ac:dyDescent="0.25">
      <c r="A1613" t="s">
        <v>35</v>
      </c>
      <c r="B1613" t="s">
        <v>987</v>
      </c>
      <c r="C1613" t="s">
        <v>1004</v>
      </c>
      <c r="D1613" s="2">
        <v>726510</v>
      </c>
      <c r="E1613" t="s">
        <v>13</v>
      </c>
      <c r="F1613">
        <v>43.587800000000001</v>
      </c>
      <c r="G1613">
        <v>-96.728899999999996</v>
      </c>
      <c r="H1613">
        <v>-6</v>
      </c>
      <c r="I1613">
        <v>435.9</v>
      </c>
      <c r="J1613" t="str">
        <f>HYPERLINK("https://climate.onebuilding.org/WMO_Region_4_North_and_Central_America/USA_United_States_of_America/SD_South_Dakota/USA_SD_Sioux.Falls.Rgnl.AP-Foss.Field.726510_US.Normals.1991-2020.zip")</f>
        <v>https://climate.onebuilding.org/WMO_Region_4_North_and_Central_America/USA_United_States_of_America/SD_South_Dakota/USA_SD_Sioux.Falls.Rgnl.AP-Foss.Field.726510_US.Normals.1991-2020.zip</v>
      </c>
    </row>
    <row r="1614" spans="1:10" x14ac:dyDescent="0.25">
      <c r="A1614" t="s">
        <v>35</v>
      </c>
      <c r="B1614" t="s">
        <v>987</v>
      </c>
      <c r="C1614" t="s">
        <v>1004</v>
      </c>
      <c r="D1614" s="2">
        <v>726510</v>
      </c>
      <c r="E1614" t="s">
        <v>13</v>
      </c>
      <c r="F1614">
        <v>43.587800000000001</v>
      </c>
      <c r="G1614">
        <v>-96.728899999999996</v>
      </c>
      <c r="H1614">
        <v>-6</v>
      </c>
      <c r="I1614">
        <v>435.9</v>
      </c>
      <c r="J1614" t="str">
        <f>HYPERLINK("https://climate.onebuilding.org/WMO_Region_4_North_and_Central_America/USA_United_States_of_America/SD_South_Dakota/USA_SD_Sioux.Falls.Rgnl.AP-Foss.Field.726510_US.Normals.2006-2020.zip")</f>
        <v>https://climate.onebuilding.org/WMO_Region_4_North_and_Central_America/USA_United_States_of_America/SD_South_Dakota/USA_SD_Sioux.Falls.Rgnl.AP-Foss.Field.726510_US.Normals.2006-2020.zip</v>
      </c>
    </row>
    <row r="1615" spans="1:10" x14ac:dyDescent="0.25">
      <c r="A1615" t="s">
        <v>35</v>
      </c>
      <c r="B1615" t="s">
        <v>987</v>
      </c>
      <c r="C1615" t="s">
        <v>1005</v>
      </c>
      <c r="D1615" s="2">
        <v>726519</v>
      </c>
      <c r="E1615" t="s">
        <v>13</v>
      </c>
      <c r="F1615">
        <v>45.668900000000001</v>
      </c>
      <c r="G1615">
        <v>-96.991399999999999</v>
      </c>
      <c r="H1615">
        <v>-6</v>
      </c>
      <c r="I1615">
        <v>353.9</v>
      </c>
      <c r="J1615" t="str">
        <f>HYPERLINK("https://climate.onebuilding.org/WMO_Region_4_North_and_Central_America/USA_United_States_of_America/SD_South_Dakota/USA_SD_Sisseton.Muni.AP.726519_US.Normals.2006-2020.zip")</f>
        <v>https://climate.onebuilding.org/WMO_Region_4_North_and_Central_America/USA_United_States_of_America/SD_South_Dakota/USA_SD_Sisseton.Muni.AP.726519_US.Normals.2006-2020.zip</v>
      </c>
    </row>
    <row r="1616" spans="1:10" x14ac:dyDescent="0.25">
      <c r="A1616" t="s">
        <v>35</v>
      </c>
      <c r="B1616" t="s">
        <v>987</v>
      </c>
      <c r="C1616" t="s">
        <v>1006</v>
      </c>
      <c r="D1616" s="2">
        <v>726546</v>
      </c>
      <c r="E1616" t="s">
        <v>13</v>
      </c>
      <c r="F1616">
        <v>44.904699999999998</v>
      </c>
      <c r="G1616">
        <v>-97.1494</v>
      </c>
      <c r="H1616">
        <v>-6</v>
      </c>
      <c r="I1616">
        <v>532.79999999999995</v>
      </c>
      <c r="J1616" t="str">
        <f>HYPERLINK("https://climate.onebuilding.org/WMO_Region_4_North_and_Central_America/USA_United_States_of_America/SD_South_Dakota/USA_SD_Watertown.Rgnl.AP.726546_US.Normals.1991-2020.zip")</f>
        <v>https://climate.onebuilding.org/WMO_Region_4_North_and_Central_America/USA_United_States_of_America/SD_South_Dakota/USA_SD_Watertown.Rgnl.AP.726546_US.Normals.1991-2020.zip</v>
      </c>
    </row>
    <row r="1617" spans="1:10" x14ac:dyDescent="0.25">
      <c r="A1617" t="s">
        <v>35</v>
      </c>
      <c r="B1617" t="s">
        <v>987</v>
      </c>
      <c r="C1617" t="s">
        <v>1006</v>
      </c>
      <c r="D1617" s="2">
        <v>726546</v>
      </c>
      <c r="E1617" t="s">
        <v>13</v>
      </c>
      <c r="F1617">
        <v>44.904699999999998</v>
      </c>
      <c r="G1617">
        <v>-97.1494</v>
      </c>
      <c r="H1617">
        <v>-6</v>
      </c>
      <c r="I1617">
        <v>532.79999999999995</v>
      </c>
      <c r="J1617" t="str">
        <f>HYPERLINK("https://climate.onebuilding.org/WMO_Region_4_North_and_Central_America/USA_United_States_of_America/SD_South_Dakota/USA_SD_Watertown.Rgnl.AP.726546_US.Normals.2006-2020.zip")</f>
        <v>https://climate.onebuilding.org/WMO_Region_4_North_and_Central_America/USA_United_States_of_America/SD_South_Dakota/USA_SD_Watertown.Rgnl.AP.726546_US.Normals.2006-2020.zip</v>
      </c>
    </row>
    <row r="1618" spans="1:10" x14ac:dyDescent="0.25">
      <c r="A1618" t="s">
        <v>35</v>
      </c>
      <c r="B1618" t="s">
        <v>987</v>
      </c>
      <c r="C1618" t="s">
        <v>1007</v>
      </c>
      <c r="D1618" s="2">
        <v>726518</v>
      </c>
      <c r="E1618" t="s">
        <v>13</v>
      </c>
      <c r="F1618">
        <v>43.390599999999999</v>
      </c>
      <c r="G1618">
        <v>-99.842200000000005</v>
      </c>
      <c r="H1618">
        <v>-7</v>
      </c>
      <c r="I1618">
        <v>619.4</v>
      </c>
      <c r="J1618" t="str">
        <f>HYPERLINK("https://climate.onebuilding.org/WMO_Region_4_North_and_Central_America/USA_United_States_of_America/SD_South_Dakota/USA_SD_Winner.Rgnl.AP.726518_US.Normals.2006-2020.zip")</f>
        <v>https://climate.onebuilding.org/WMO_Region_4_North_and_Central_America/USA_United_States_of_America/SD_South_Dakota/USA_SD_Winner.Rgnl.AP.726518_US.Normals.2006-2020.zip</v>
      </c>
    </row>
    <row r="1619" spans="1:10" x14ac:dyDescent="0.25">
      <c r="A1619" t="s">
        <v>35</v>
      </c>
      <c r="B1619" t="s">
        <v>987</v>
      </c>
      <c r="C1619" t="s">
        <v>1008</v>
      </c>
      <c r="D1619" s="2">
        <v>726525</v>
      </c>
      <c r="E1619" t="s">
        <v>13</v>
      </c>
      <c r="F1619">
        <v>42.878300000000003</v>
      </c>
      <c r="G1619">
        <v>-97.363299999999995</v>
      </c>
      <c r="H1619">
        <v>-6</v>
      </c>
      <c r="I1619">
        <v>359.7</v>
      </c>
      <c r="J1619" t="str">
        <f>HYPERLINK("https://climate.onebuilding.org/WMO_Region_4_North_and_Central_America/USA_United_States_of_America/SD_South_Dakota/USA_SD_Yankton-Gurney.Muni.AP.726525_US.Normals.2006-2020.zip")</f>
        <v>https://climate.onebuilding.org/WMO_Region_4_North_and_Central_America/USA_United_States_of_America/SD_South_Dakota/USA_SD_Yankton-Gurney.Muni.AP.726525_US.Normals.2006-2020.zip</v>
      </c>
    </row>
    <row r="1620" spans="1:10" x14ac:dyDescent="0.25">
      <c r="A1620" t="s">
        <v>35</v>
      </c>
      <c r="B1620" t="s">
        <v>1009</v>
      </c>
      <c r="C1620" t="s">
        <v>1010</v>
      </c>
      <c r="D1620" s="2">
        <v>723350</v>
      </c>
      <c r="E1620" t="s">
        <v>13</v>
      </c>
      <c r="F1620">
        <v>36.473100000000002</v>
      </c>
      <c r="G1620">
        <v>-82.404399999999995</v>
      </c>
      <c r="H1620">
        <v>-5</v>
      </c>
      <c r="I1620">
        <v>457.2</v>
      </c>
      <c r="J1620" t="str">
        <f>HYPERLINK("https://climate.onebuilding.org/WMO_Region_4_North_and_Central_America/USA_United_States_of_America/TN_Tennessee/USA_TN_Bristol-Tri-Cities.Rgnl.AP.723350_US.Normals.1981-2010.zip")</f>
        <v>https://climate.onebuilding.org/WMO_Region_4_North_and_Central_America/USA_United_States_of_America/TN_Tennessee/USA_TN_Bristol-Tri-Cities.Rgnl.AP.723350_US.Normals.1981-2010.zip</v>
      </c>
    </row>
    <row r="1621" spans="1:10" x14ac:dyDescent="0.25">
      <c r="A1621" t="s">
        <v>35</v>
      </c>
      <c r="B1621" t="s">
        <v>1009</v>
      </c>
      <c r="C1621" t="s">
        <v>1010</v>
      </c>
      <c r="D1621" s="2">
        <v>723350</v>
      </c>
      <c r="E1621" t="s">
        <v>13</v>
      </c>
      <c r="F1621">
        <v>36.473100000000002</v>
      </c>
      <c r="G1621">
        <v>-82.404399999999995</v>
      </c>
      <c r="H1621">
        <v>-5</v>
      </c>
      <c r="I1621">
        <v>457.2</v>
      </c>
      <c r="J1621" t="str">
        <f>HYPERLINK("https://climate.onebuilding.org/WMO_Region_4_North_and_Central_America/USA_United_States_of_America/TN_Tennessee/USA_TN_Bristol-Tri-Cities.Rgnl.AP.723350_US.Normals.2006-2020.zip")</f>
        <v>https://climate.onebuilding.org/WMO_Region_4_North_and_Central_America/USA_United_States_of_America/TN_Tennessee/USA_TN_Bristol-Tri-Cities.Rgnl.AP.723350_US.Normals.2006-2020.zip</v>
      </c>
    </row>
    <row r="1622" spans="1:10" x14ac:dyDescent="0.25">
      <c r="A1622" t="s">
        <v>35</v>
      </c>
      <c r="B1622" t="s">
        <v>1009</v>
      </c>
      <c r="C1622" t="s">
        <v>1011</v>
      </c>
      <c r="D1622" s="2">
        <v>723240</v>
      </c>
      <c r="E1622" t="s">
        <v>13</v>
      </c>
      <c r="F1622">
        <v>35.031100000000002</v>
      </c>
      <c r="G1622">
        <v>-85.201400000000007</v>
      </c>
      <c r="H1622">
        <v>-6</v>
      </c>
      <c r="I1622">
        <v>204.5</v>
      </c>
      <c r="J1622" t="str">
        <f>HYPERLINK("https://climate.onebuilding.org/WMO_Region_4_North_and_Central_America/USA_United_States_of_America/TN_Tennessee/USA_TN_Chattanooga.Metro.AP-Lovell.Field.723240_US.Normals.1981-2010.zip")</f>
        <v>https://climate.onebuilding.org/WMO_Region_4_North_and_Central_America/USA_United_States_of_America/TN_Tennessee/USA_TN_Chattanooga.Metro.AP-Lovell.Field.723240_US.Normals.1981-2010.zip</v>
      </c>
    </row>
    <row r="1623" spans="1:10" x14ac:dyDescent="0.25">
      <c r="A1623" t="s">
        <v>35</v>
      </c>
      <c r="B1623" t="s">
        <v>1009</v>
      </c>
      <c r="C1623" t="s">
        <v>1011</v>
      </c>
      <c r="D1623" s="2">
        <v>723240</v>
      </c>
      <c r="E1623" t="s">
        <v>13</v>
      </c>
      <c r="F1623">
        <v>35.031100000000002</v>
      </c>
      <c r="G1623">
        <v>-85.201400000000007</v>
      </c>
      <c r="H1623">
        <v>-6</v>
      </c>
      <c r="I1623">
        <v>204.5</v>
      </c>
      <c r="J1623" t="str">
        <f>HYPERLINK("https://climate.onebuilding.org/WMO_Region_4_North_and_Central_America/USA_United_States_of_America/TN_Tennessee/USA_TN_Chattanooga.Metro.AP-Lovell.Field.723240_US.Normals.1991-2020.zip")</f>
        <v>https://climate.onebuilding.org/WMO_Region_4_North_and_Central_America/USA_United_States_of_America/TN_Tennessee/USA_TN_Chattanooga.Metro.AP-Lovell.Field.723240_US.Normals.1991-2020.zip</v>
      </c>
    </row>
    <row r="1624" spans="1:10" x14ac:dyDescent="0.25">
      <c r="A1624" t="s">
        <v>35</v>
      </c>
      <c r="B1624" t="s">
        <v>1009</v>
      </c>
      <c r="C1624" t="s">
        <v>1011</v>
      </c>
      <c r="D1624" s="2">
        <v>723240</v>
      </c>
      <c r="E1624" t="s">
        <v>13</v>
      </c>
      <c r="F1624">
        <v>35.031100000000002</v>
      </c>
      <c r="G1624">
        <v>-85.201400000000007</v>
      </c>
      <c r="H1624">
        <v>-6</v>
      </c>
      <c r="I1624">
        <v>204.5</v>
      </c>
      <c r="J1624" t="str">
        <f>HYPERLINK("https://climate.onebuilding.org/WMO_Region_4_North_and_Central_America/USA_United_States_of_America/TN_Tennessee/USA_TN_Chattanooga.Metro.AP-Lovell.Field.723240_US.Normals.2006-2020.zip")</f>
        <v>https://climate.onebuilding.org/WMO_Region_4_North_and_Central_America/USA_United_States_of_America/TN_Tennessee/USA_TN_Chattanooga.Metro.AP-Lovell.Field.723240_US.Normals.2006-2020.zip</v>
      </c>
    </row>
    <row r="1625" spans="1:10" x14ac:dyDescent="0.25">
      <c r="A1625" t="s">
        <v>35</v>
      </c>
      <c r="B1625" t="s">
        <v>1009</v>
      </c>
      <c r="C1625" t="s">
        <v>1012</v>
      </c>
      <c r="D1625" s="2">
        <v>723280</v>
      </c>
      <c r="E1625" t="s">
        <v>13</v>
      </c>
      <c r="F1625">
        <v>36.623899999999999</v>
      </c>
      <c r="G1625">
        <v>-87.419399999999996</v>
      </c>
      <c r="H1625">
        <v>-6</v>
      </c>
      <c r="I1625">
        <v>170.7</v>
      </c>
      <c r="J1625" t="str">
        <f>HYPERLINK("https://climate.onebuilding.org/WMO_Region_4_North_and_Central_America/USA_United_States_of_America/TN_Tennessee/USA_TN_Clarksville.Rgnl.AP-Outlaw.Field.723280_US.Normals.2006-2020.zip")</f>
        <v>https://climate.onebuilding.org/WMO_Region_4_North_and_Central_America/USA_United_States_of_America/TN_Tennessee/USA_TN_Clarksville.Rgnl.AP-Outlaw.Field.723280_US.Normals.2006-2020.zip</v>
      </c>
    </row>
    <row r="1626" spans="1:10" x14ac:dyDescent="0.25">
      <c r="A1626" t="s">
        <v>35</v>
      </c>
      <c r="B1626" t="s">
        <v>1009</v>
      </c>
      <c r="C1626" t="s">
        <v>1013</v>
      </c>
      <c r="D1626" s="2">
        <v>754330</v>
      </c>
      <c r="E1626" t="s">
        <v>13</v>
      </c>
      <c r="F1626">
        <v>36.0139</v>
      </c>
      <c r="G1626">
        <v>-85.134399999999999</v>
      </c>
      <c r="H1626">
        <v>-6</v>
      </c>
      <c r="I1626">
        <v>583.1</v>
      </c>
      <c r="J1626" t="str">
        <f>HYPERLINK("https://climate.onebuilding.org/WMO_Region_4_North_and_Central_America/USA_United_States_of_America/TN_Tennessee/USA_TN_Crossville-Univ.Tennessee.Plateau.Research.and.Education.Center.754330_US.Normals.2006-2020.zip")</f>
        <v>https://climate.onebuilding.org/WMO_Region_4_North_and_Central_America/USA_United_States_of_America/TN_Tennessee/USA_TN_Crossville-Univ.Tennessee.Plateau.Research.and.Education.Center.754330_US.Normals.2006-2020.zip</v>
      </c>
    </row>
    <row r="1627" spans="1:10" x14ac:dyDescent="0.25">
      <c r="A1627" t="s">
        <v>35</v>
      </c>
      <c r="B1627" t="s">
        <v>1009</v>
      </c>
      <c r="C1627" t="s">
        <v>1014</v>
      </c>
      <c r="D1627" s="2">
        <v>723250</v>
      </c>
      <c r="E1627" t="s">
        <v>13</v>
      </c>
      <c r="F1627">
        <v>35.950800000000001</v>
      </c>
      <c r="G1627">
        <v>-85.081400000000002</v>
      </c>
      <c r="H1627">
        <v>-6</v>
      </c>
      <c r="I1627">
        <v>569.1</v>
      </c>
      <c r="J1627" t="str">
        <f>HYPERLINK("https://climate.onebuilding.org/WMO_Region_4_North_and_Central_America/USA_United_States_of_America/TN_Tennessee/USA_TN_Crossville.Meml.AP-Whitson.Field.723250_US.Normals.1981-2010.zip")</f>
        <v>https://climate.onebuilding.org/WMO_Region_4_North_and_Central_America/USA_United_States_of_America/TN_Tennessee/USA_TN_Crossville.Meml.AP-Whitson.Field.723250_US.Normals.1981-2010.zip</v>
      </c>
    </row>
    <row r="1628" spans="1:10" x14ac:dyDescent="0.25">
      <c r="A1628" t="s">
        <v>35</v>
      </c>
      <c r="B1628" t="s">
        <v>1009</v>
      </c>
      <c r="C1628" t="s">
        <v>1014</v>
      </c>
      <c r="D1628" s="2">
        <v>723250</v>
      </c>
      <c r="E1628" t="s">
        <v>13</v>
      </c>
      <c r="F1628">
        <v>35.950800000000001</v>
      </c>
      <c r="G1628">
        <v>-85.081400000000002</v>
      </c>
      <c r="H1628">
        <v>-6</v>
      </c>
      <c r="I1628">
        <v>569.1</v>
      </c>
      <c r="J1628" t="str">
        <f>HYPERLINK("https://climate.onebuilding.org/WMO_Region_4_North_and_Central_America/USA_United_States_of_America/TN_Tennessee/USA_TN_Crossville.Meml.AP-Whitson.Field.723250_US.Normals.2006-2020.zip")</f>
        <v>https://climate.onebuilding.org/WMO_Region_4_North_and_Central_America/USA_United_States_of_America/TN_Tennessee/USA_TN_Crossville.Meml.AP-Whitson.Field.723250_US.Normals.2006-2020.zip</v>
      </c>
    </row>
    <row r="1629" spans="1:10" x14ac:dyDescent="0.25">
      <c r="A1629" t="s">
        <v>35</v>
      </c>
      <c r="B1629" t="s">
        <v>1009</v>
      </c>
      <c r="C1629" t="s">
        <v>1015</v>
      </c>
      <c r="D1629" s="2">
        <v>723347</v>
      </c>
      <c r="E1629" t="s">
        <v>13</v>
      </c>
      <c r="F1629">
        <v>36.000300000000003</v>
      </c>
      <c r="G1629">
        <v>-89.41</v>
      </c>
      <c r="H1629">
        <v>-6</v>
      </c>
      <c r="I1629">
        <v>91.4</v>
      </c>
      <c r="J1629" t="str">
        <f>HYPERLINK("https://climate.onebuilding.org/WMO_Region_4_North_and_Central_America/USA_United_States_of_America/TN_Tennessee/USA_TN_Dyersburg.Rgnl.AP.723347_US.Normals.2006-2020.zip")</f>
        <v>https://climate.onebuilding.org/WMO_Region_4_North_and_Central_America/USA_United_States_of_America/TN_Tennessee/USA_TN_Dyersburg.Rgnl.AP.723347_US.Normals.2006-2020.zip</v>
      </c>
    </row>
    <row r="1630" spans="1:10" x14ac:dyDescent="0.25">
      <c r="A1630" t="s">
        <v>35</v>
      </c>
      <c r="B1630" t="s">
        <v>1009</v>
      </c>
      <c r="C1630" t="s">
        <v>1016</v>
      </c>
      <c r="D1630" s="2">
        <v>723346</v>
      </c>
      <c r="E1630" t="s">
        <v>13</v>
      </c>
      <c r="F1630">
        <v>35.5931</v>
      </c>
      <c r="G1630">
        <v>-88.916700000000006</v>
      </c>
      <c r="H1630">
        <v>-6</v>
      </c>
      <c r="I1630">
        <v>132</v>
      </c>
      <c r="J1630" t="str">
        <f>HYPERLINK("https://climate.onebuilding.org/WMO_Region_4_North_and_Central_America/USA_United_States_of_America/TN_Tennessee/USA_TN_Jackson-McKellar-Sipes.Rgnl.AP.723346_US.Normals.1981-2010.zip")</f>
        <v>https://climate.onebuilding.org/WMO_Region_4_North_and_Central_America/USA_United_States_of_America/TN_Tennessee/USA_TN_Jackson-McKellar-Sipes.Rgnl.AP.723346_US.Normals.1981-2010.zip</v>
      </c>
    </row>
    <row r="1631" spans="1:10" x14ac:dyDescent="0.25">
      <c r="A1631" t="s">
        <v>35</v>
      </c>
      <c r="B1631" t="s">
        <v>1009</v>
      </c>
      <c r="C1631" t="s">
        <v>1016</v>
      </c>
      <c r="D1631" s="2">
        <v>723346</v>
      </c>
      <c r="E1631" t="s">
        <v>13</v>
      </c>
      <c r="F1631">
        <v>35.5931</v>
      </c>
      <c r="G1631">
        <v>-88.916700000000006</v>
      </c>
      <c r="H1631">
        <v>-6</v>
      </c>
      <c r="I1631">
        <v>132</v>
      </c>
      <c r="J1631" t="str">
        <f>HYPERLINK("https://climate.onebuilding.org/WMO_Region_4_North_and_Central_America/USA_United_States_of_America/TN_Tennessee/USA_TN_Jackson-McKellar-Sipes.Rgnl.AP.723346_US.Normals.1991-2020.zip")</f>
        <v>https://climate.onebuilding.org/WMO_Region_4_North_and_Central_America/USA_United_States_of_America/TN_Tennessee/USA_TN_Jackson-McKellar-Sipes.Rgnl.AP.723346_US.Normals.1991-2020.zip</v>
      </c>
    </row>
    <row r="1632" spans="1:10" x14ac:dyDescent="0.25">
      <c r="A1632" t="s">
        <v>35</v>
      </c>
      <c r="B1632" t="s">
        <v>1009</v>
      </c>
      <c r="C1632" t="s">
        <v>1016</v>
      </c>
      <c r="D1632" s="2">
        <v>723346</v>
      </c>
      <c r="E1632" t="s">
        <v>13</v>
      </c>
      <c r="F1632">
        <v>35.5931</v>
      </c>
      <c r="G1632">
        <v>-88.916700000000006</v>
      </c>
      <c r="H1632">
        <v>-6</v>
      </c>
      <c r="I1632">
        <v>132</v>
      </c>
      <c r="J1632" t="str">
        <f>HYPERLINK("https://climate.onebuilding.org/WMO_Region_4_North_and_Central_America/USA_United_States_of_America/TN_Tennessee/USA_TN_Jackson-McKellar-Sipes.Rgnl.AP.723346_US.Normals.2006-2020.zip")</f>
        <v>https://climate.onebuilding.org/WMO_Region_4_North_and_Central_America/USA_United_States_of_America/TN_Tennessee/USA_TN_Jackson-McKellar-Sipes.Rgnl.AP.723346_US.Normals.2006-2020.zip</v>
      </c>
    </row>
    <row r="1633" spans="1:10" x14ac:dyDescent="0.25">
      <c r="A1633" t="s">
        <v>35</v>
      </c>
      <c r="B1633" t="s">
        <v>1009</v>
      </c>
      <c r="C1633" t="s">
        <v>1017</v>
      </c>
      <c r="D1633" s="2">
        <v>723260</v>
      </c>
      <c r="E1633" t="s">
        <v>13</v>
      </c>
      <c r="F1633">
        <v>35.818100000000001</v>
      </c>
      <c r="G1633">
        <v>-83.985799999999998</v>
      </c>
      <c r="H1633">
        <v>-6</v>
      </c>
      <c r="I1633">
        <v>293.2</v>
      </c>
      <c r="J1633" t="str">
        <f>HYPERLINK("https://climate.onebuilding.org/WMO_Region_4_North_and_Central_America/USA_United_States_of_America/TN_Tennessee/USA_TN_Knoxville-McGhee.Tyson.AP.723260_US.Normals.1981-2010.zip")</f>
        <v>https://climate.onebuilding.org/WMO_Region_4_North_and_Central_America/USA_United_States_of_America/TN_Tennessee/USA_TN_Knoxville-McGhee.Tyson.AP.723260_US.Normals.1981-2010.zip</v>
      </c>
    </row>
    <row r="1634" spans="1:10" x14ac:dyDescent="0.25">
      <c r="A1634" t="s">
        <v>35</v>
      </c>
      <c r="B1634" t="s">
        <v>1009</v>
      </c>
      <c r="C1634" t="s">
        <v>1017</v>
      </c>
      <c r="D1634" s="2">
        <v>723260</v>
      </c>
      <c r="E1634" t="s">
        <v>13</v>
      </c>
      <c r="F1634">
        <v>35.818100000000001</v>
      </c>
      <c r="G1634">
        <v>-83.985799999999998</v>
      </c>
      <c r="H1634">
        <v>-6</v>
      </c>
      <c r="I1634">
        <v>293.2</v>
      </c>
      <c r="J1634" t="str">
        <f>HYPERLINK("https://climate.onebuilding.org/WMO_Region_4_North_and_Central_America/USA_United_States_of_America/TN_Tennessee/USA_TN_Knoxville-McGhee.Tyson.AP.723260_US.Normals.1991-2020.zip")</f>
        <v>https://climate.onebuilding.org/WMO_Region_4_North_and_Central_America/USA_United_States_of_America/TN_Tennessee/USA_TN_Knoxville-McGhee.Tyson.AP.723260_US.Normals.1991-2020.zip</v>
      </c>
    </row>
    <row r="1635" spans="1:10" x14ac:dyDescent="0.25">
      <c r="A1635" t="s">
        <v>35</v>
      </c>
      <c r="B1635" t="s">
        <v>1009</v>
      </c>
      <c r="C1635" t="s">
        <v>1017</v>
      </c>
      <c r="D1635" s="2">
        <v>723260</v>
      </c>
      <c r="E1635" t="s">
        <v>13</v>
      </c>
      <c r="F1635">
        <v>35.818100000000001</v>
      </c>
      <c r="G1635">
        <v>-83.985799999999998</v>
      </c>
      <c r="H1635">
        <v>-6</v>
      </c>
      <c r="I1635">
        <v>293.2</v>
      </c>
      <c r="J1635" t="str">
        <f>HYPERLINK("https://climate.onebuilding.org/WMO_Region_4_North_and_Central_America/USA_United_States_of_America/TN_Tennessee/USA_TN_Knoxville-McGhee.Tyson.AP.723260_US.Normals.2006-2020.zip")</f>
        <v>https://climate.onebuilding.org/WMO_Region_4_North_and_Central_America/USA_United_States_of_America/TN_Tennessee/USA_TN_Knoxville-McGhee.Tyson.AP.723260_US.Normals.2006-2020.zip</v>
      </c>
    </row>
    <row r="1636" spans="1:10" x14ac:dyDescent="0.25">
      <c r="A1636" t="s">
        <v>35</v>
      </c>
      <c r="B1636" t="s">
        <v>1009</v>
      </c>
      <c r="C1636" t="s">
        <v>1018</v>
      </c>
      <c r="D1636" s="2">
        <v>723340</v>
      </c>
      <c r="E1636" t="s">
        <v>13</v>
      </c>
      <c r="F1636">
        <v>35.056399999999996</v>
      </c>
      <c r="G1636">
        <v>-89.986400000000003</v>
      </c>
      <c r="H1636">
        <v>-6</v>
      </c>
      <c r="I1636">
        <v>77.400000000000006</v>
      </c>
      <c r="J1636" t="str">
        <f>HYPERLINK("https://climate.onebuilding.org/WMO_Region_4_North_and_Central_America/USA_United_States_of_America/TN_Tennessee/USA_TN_Memphis.Intl.AP.723340_US.Normals.1981-2010.zip")</f>
        <v>https://climate.onebuilding.org/WMO_Region_4_North_and_Central_America/USA_United_States_of_America/TN_Tennessee/USA_TN_Memphis.Intl.AP.723340_US.Normals.1981-2010.zip</v>
      </c>
    </row>
    <row r="1637" spans="1:10" x14ac:dyDescent="0.25">
      <c r="A1637" t="s">
        <v>35</v>
      </c>
      <c r="B1637" t="s">
        <v>1009</v>
      </c>
      <c r="C1637" t="s">
        <v>1018</v>
      </c>
      <c r="D1637" s="2">
        <v>723340</v>
      </c>
      <c r="E1637" t="s">
        <v>13</v>
      </c>
      <c r="F1637">
        <v>35.056399999999996</v>
      </c>
      <c r="G1637">
        <v>-89.986400000000003</v>
      </c>
      <c r="H1637">
        <v>-6</v>
      </c>
      <c r="I1637">
        <v>77.400000000000006</v>
      </c>
      <c r="J1637" t="str">
        <f>HYPERLINK("https://climate.onebuilding.org/WMO_Region_4_North_and_Central_America/USA_United_States_of_America/TN_Tennessee/USA_TN_Memphis.Intl.AP.723340_US.Normals.1991-2020.zip")</f>
        <v>https://climate.onebuilding.org/WMO_Region_4_North_and_Central_America/USA_United_States_of_America/TN_Tennessee/USA_TN_Memphis.Intl.AP.723340_US.Normals.1991-2020.zip</v>
      </c>
    </row>
    <row r="1638" spans="1:10" x14ac:dyDescent="0.25">
      <c r="A1638" t="s">
        <v>35</v>
      </c>
      <c r="B1638" t="s">
        <v>1009</v>
      </c>
      <c r="C1638" t="s">
        <v>1018</v>
      </c>
      <c r="D1638" s="2">
        <v>723340</v>
      </c>
      <c r="E1638" t="s">
        <v>13</v>
      </c>
      <c r="F1638">
        <v>35.056399999999996</v>
      </c>
      <c r="G1638">
        <v>-89.986400000000003</v>
      </c>
      <c r="H1638">
        <v>-6</v>
      </c>
      <c r="I1638">
        <v>77.400000000000006</v>
      </c>
      <c r="J1638" t="str">
        <f>HYPERLINK("https://climate.onebuilding.org/WMO_Region_4_North_and_Central_America/USA_United_States_of_America/TN_Tennessee/USA_TN_Memphis.Intl.AP.723340_US.Normals.2006-2020.zip")</f>
        <v>https://climate.onebuilding.org/WMO_Region_4_North_and_Central_America/USA_United_States_of_America/TN_Tennessee/USA_TN_Memphis.Intl.AP.723340_US.Normals.2006-2020.zip</v>
      </c>
    </row>
    <row r="1639" spans="1:10" x14ac:dyDescent="0.25">
      <c r="A1639" t="s">
        <v>35</v>
      </c>
      <c r="B1639" t="s">
        <v>1009</v>
      </c>
      <c r="C1639" t="s">
        <v>1019</v>
      </c>
      <c r="D1639" s="2">
        <v>723284</v>
      </c>
      <c r="E1639" t="s">
        <v>13</v>
      </c>
      <c r="F1639">
        <v>35.344700000000003</v>
      </c>
      <c r="G1639">
        <v>-89.8733</v>
      </c>
      <c r="H1639">
        <v>-6</v>
      </c>
      <c r="I1639">
        <v>86</v>
      </c>
      <c r="J1639" t="str">
        <f>HYPERLINK("https://climate.onebuilding.org/WMO_Region_4_North_and_Central_America/USA_United_States_of_America/TN_Tennessee/USA_TN_Millington-Memphis.AP-NSA.Mid.South.723284_US.Normals.2006-2020.zip")</f>
        <v>https://climate.onebuilding.org/WMO_Region_4_North_and_Central_America/USA_United_States_of_America/TN_Tennessee/USA_TN_Millington-Memphis.AP-NSA.Mid.South.723284_US.Normals.2006-2020.zip</v>
      </c>
    </row>
    <row r="1640" spans="1:10" x14ac:dyDescent="0.25">
      <c r="A1640" t="s">
        <v>35</v>
      </c>
      <c r="B1640" t="s">
        <v>1009</v>
      </c>
      <c r="C1640" t="s">
        <v>1020</v>
      </c>
      <c r="D1640" s="2">
        <v>723270</v>
      </c>
      <c r="E1640" t="s">
        <v>13</v>
      </c>
      <c r="F1640">
        <v>36.118899999999996</v>
      </c>
      <c r="G1640">
        <v>-86.6892</v>
      </c>
      <c r="H1640">
        <v>-6</v>
      </c>
      <c r="I1640">
        <v>182.9</v>
      </c>
      <c r="J1640" t="str">
        <f>HYPERLINK("https://climate.onebuilding.org/WMO_Region_4_North_and_Central_America/USA_United_States_of_America/TN_Tennessee/USA_TN_Nashville.Intl.AP.723270_US.Normals.1981-2010.zip")</f>
        <v>https://climate.onebuilding.org/WMO_Region_4_North_and_Central_America/USA_United_States_of_America/TN_Tennessee/USA_TN_Nashville.Intl.AP.723270_US.Normals.1981-2010.zip</v>
      </c>
    </row>
    <row r="1641" spans="1:10" x14ac:dyDescent="0.25">
      <c r="A1641" t="s">
        <v>35</v>
      </c>
      <c r="B1641" t="s">
        <v>1009</v>
      </c>
      <c r="C1641" t="s">
        <v>1020</v>
      </c>
      <c r="D1641" s="2">
        <v>723270</v>
      </c>
      <c r="E1641" t="s">
        <v>13</v>
      </c>
      <c r="F1641">
        <v>36.118899999999996</v>
      </c>
      <c r="G1641">
        <v>-86.6892</v>
      </c>
      <c r="H1641">
        <v>-6</v>
      </c>
      <c r="I1641">
        <v>182.9</v>
      </c>
      <c r="J1641" t="str">
        <f>HYPERLINK("https://climate.onebuilding.org/WMO_Region_4_North_and_Central_America/USA_United_States_of_America/TN_Tennessee/USA_TN_Nashville.Intl.AP.723270_US.Normals.1991-2020.zip")</f>
        <v>https://climate.onebuilding.org/WMO_Region_4_North_and_Central_America/USA_United_States_of_America/TN_Tennessee/USA_TN_Nashville.Intl.AP.723270_US.Normals.1991-2020.zip</v>
      </c>
    </row>
    <row r="1642" spans="1:10" x14ac:dyDescent="0.25">
      <c r="A1642" t="s">
        <v>35</v>
      </c>
      <c r="B1642" t="s">
        <v>1009</v>
      </c>
      <c r="C1642" t="s">
        <v>1020</v>
      </c>
      <c r="D1642" s="2">
        <v>723270</v>
      </c>
      <c r="E1642" t="s">
        <v>13</v>
      </c>
      <c r="F1642">
        <v>36.118899999999996</v>
      </c>
      <c r="G1642">
        <v>-86.6892</v>
      </c>
      <c r="H1642">
        <v>-6</v>
      </c>
      <c r="I1642">
        <v>182.9</v>
      </c>
      <c r="J1642" t="str">
        <f>HYPERLINK("https://climate.onebuilding.org/WMO_Region_4_North_and_Central_America/USA_United_States_of_America/TN_Tennessee/USA_TN_Nashville.Intl.AP.723270_US.Normals.2006-2020.zip")</f>
        <v>https://climate.onebuilding.org/WMO_Region_4_North_and_Central_America/USA_United_States_of_America/TN_Tennessee/USA_TN_Nashville.Intl.AP.723270_US.Normals.2006-2020.zip</v>
      </c>
    </row>
    <row r="1643" spans="1:10" x14ac:dyDescent="0.25">
      <c r="A1643" t="s">
        <v>35</v>
      </c>
      <c r="B1643" t="s">
        <v>1009</v>
      </c>
      <c r="C1643" t="s">
        <v>1021</v>
      </c>
      <c r="D1643" s="2">
        <v>724270</v>
      </c>
      <c r="E1643" t="s">
        <v>13</v>
      </c>
      <c r="F1643">
        <v>36.023600000000002</v>
      </c>
      <c r="G1643">
        <v>-84.237499999999997</v>
      </c>
      <c r="H1643">
        <v>-6</v>
      </c>
      <c r="I1643">
        <v>277.39999999999998</v>
      </c>
      <c r="J1643" t="str">
        <f>HYPERLINK("https://climate.onebuilding.org/WMO_Region_4_North_and_Central_America/USA_United_States_of_America/TN_Tennessee/USA_TN_Oak.Ridge.724270_US.Normals.2006-2020.zip")</f>
        <v>https://climate.onebuilding.org/WMO_Region_4_North_and_Central_America/USA_United_States_of_America/TN_Tennessee/USA_TN_Oak.Ridge.724270_US.Normals.2006-2020.zip</v>
      </c>
    </row>
    <row r="1644" spans="1:10" x14ac:dyDescent="0.25">
      <c r="A1644" t="s">
        <v>35</v>
      </c>
      <c r="B1644" t="s">
        <v>1009</v>
      </c>
      <c r="C1644" t="s">
        <v>1022</v>
      </c>
      <c r="D1644" s="2">
        <v>723273</v>
      </c>
      <c r="E1644" t="s">
        <v>13</v>
      </c>
      <c r="F1644">
        <v>36.008899999999997</v>
      </c>
      <c r="G1644">
        <v>-86.52</v>
      </c>
      <c r="H1644">
        <v>-6</v>
      </c>
      <c r="I1644">
        <v>165.5</v>
      </c>
      <c r="J1644" t="str">
        <f>HYPERLINK("https://climate.onebuilding.org/WMO_Region_4_North_and_Central_America/USA_United_States_of_America/TN_Tennessee/USA_TN_Smyrna-Rutherford.County.AP.723273_US.Normals.2006-2020.zip")</f>
        <v>https://climate.onebuilding.org/WMO_Region_4_North_and_Central_America/USA_United_States_of_America/TN_Tennessee/USA_TN_Smyrna-Rutherford.County.AP.723273_US.Normals.2006-2020.zip</v>
      </c>
    </row>
    <row r="1645" spans="1:10" x14ac:dyDescent="0.25">
      <c r="A1645" t="s">
        <v>35</v>
      </c>
      <c r="B1645" t="s">
        <v>1023</v>
      </c>
      <c r="C1645" t="s">
        <v>1024</v>
      </c>
      <c r="D1645" s="2">
        <v>720965</v>
      </c>
      <c r="E1645" t="s">
        <v>13</v>
      </c>
      <c r="F1645">
        <v>32.433300000000003</v>
      </c>
      <c r="G1645">
        <v>-99.85</v>
      </c>
      <c r="H1645">
        <v>-7</v>
      </c>
      <c r="I1645">
        <v>545</v>
      </c>
      <c r="J1645" t="str">
        <f>HYPERLINK("https://climate.onebuilding.org/WMO_Region_4_North_and_Central_America/USA_United_States_of_America/TX_Texas/USA_TX_Abilene-Dyess.AFB.720965_US.Normals.2006-2020.zip")</f>
        <v>https://climate.onebuilding.org/WMO_Region_4_North_and_Central_America/USA_United_States_of_America/TX_Texas/USA_TX_Abilene-Dyess.AFB.720965_US.Normals.2006-2020.zip</v>
      </c>
    </row>
    <row r="1646" spans="1:10" x14ac:dyDescent="0.25">
      <c r="A1646" t="s">
        <v>35</v>
      </c>
      <c r="B1646" t="s">
        <v>1023</v>
      </c>
      <c r="C1646" t="s">
        <v>1025</v>
      </c>
      <c r="D1646" s="2">
        <v>722660</v>
      </c>
      <c r="E1646" t="s">
        <v>13</v>
      </c>
      <c r="F1646">
        <v>32.410600000000002</v>
      </c>
      <c r="G1646">
        <v>-99.682199999999995</v>
      </c>
      <c r="H1646">
        <v>-7</v>
      </c>
      <c r="I1646">
        <v>545.6</v>
      </c>
      <c r="J1646" t="str">
        <f>HYPERLINK("https://climate.onebuilding.org/WMO_Region_4_North_and_Central_America/USA_United_States_of_America/TX_Texas/USA_TX_Abilene.Rgnl.AP.722660_US.Normals.1981-2010.zip")</f>
        <v>https://climate.onebuilding.org/WMO_Region_4_North_and_Central_America/USA_United_States_of_America/TX_Texas/USA_TX_Abilene.Rgnl.AP.722660_US.Normals.1981-2010.zip</v>
      </c>
    </row>
    <row r="1647" spans="1:10" x14ac:dyDescent="0.25">
      <c r="A1647" t="s">
        <v>35</v>
      </c>
      <c r="B1647" t="s">
        <v>1023</v>
      </c>
      <c r="C1647" t="s">
        <v>1025</v>
      </c>
      <c r="D1647" s="2">
        <v>722660</v>
      </c>
      <c r="E1647" t="s">
        <v>13</v>
      </c>
      <c r="F1647">
        <v>32.410600000000002</v>
      </c>
      <c r="G1647">
        <v>-99.682199999999995</v>
      </c>
      <c r="H1647">
        <v>-7</v>
      </c>
      <c r="I1647">
        <v>545.6</v>
      </c>
      <c r="J1647" t="str">
        <f>HYPERLINK("https://climate.onebuilding.org/WMO_Region_4_North_and_Central_America/USA_United_States_of_America/TX_Texas/USA_TX_Abilene.Rgnl.AP.722660_US.Normals.1991-2020.zip")</f>
        <v>https://climate.onebuilding.org/WMO_Region_4_North_and_Central_America/USA_United_States_of_America/TX_Texas/USA_TX_Abilene.Rgnl.AP.722660_US.Normals.1991-2020.zip</v>
      </c>
    </row>
    <row r="1648" spans="1:10" x14ac:dyDescent="0.25">
      <c r="A1648" t="s">
        <v>35</v>
      </c>
      <c r="B1648" t="s">
        <v>1023</v>
      </c>
      <c r="C1648" t="s">
        <v>1025</v>
      </c>
      <c r="D1648" s="2">
        <v>722660</v>
      </c>
      <c r="E1648" t="s">
        <v>13</v>
      </c>
      <c r="F1648">
        <v>32.410600000000002</v>
      </c>
      <c r="G1648">
        <v>-99.682199999999995</v>
      </c>
      <c r="H1648">
        <v>-7</v>
      </c>
      <c r="I1648">
        <v>545.6</v>
      </c>
      <c r="J1648" t="str">
        <f>HYPERLINK("https://climate.onebuilding.org/WMO_Region_4_North_and_Central_America/USA_United_States_of_America/TX_Texas/USA_TX_Abilene.Rgnl.AP.722660_US.Normals.2006-2020.zip")</f>
        <v>https://climate.onebuilding.org/WMO_Region_4_North_and_Central_America/USA_United_States_of_America/TX_Texas/USA_TX_Abilene.Rgnl.AP.722660_US.Normals.2006-2020.zip</v>
      </c>
    </row>
    <row r="1649" spans="1:10" x14ac:dyDescent="0.25">
      <c r="A1649" t="s">
        <v>35</v>
      </c>
      <c r="B1649" t="s">
        <v>1023</v>
      </c>
      <c r="C1649" t="s">
        <v>1026</v>
      </c>
      <c r="D1649" s="2">
        <v>722517</v>
      </c>
      <c r="E1649" t="s">
        <v>13</v>
      </c>
      <c r="F1649">
        <v>27.741099999999999</v>
      </c>
      <c r="G1649">
        <v>-98.024699999999996</v>
      </c>
      <c r="H1649">
        <v>-7</v>
      </c>
      <c r="I1649">
        <v>52.7</v>
      </c>
      <c r="J1649" t="str">
        <f>HYPERLINK("https://climate.onebuilding.org/WMO_Region_4_North_and_Central_America/USA_United_States_of_America/TX_Texas/USA_TX_Alice.Intl.AP.722517_US.Normals.1991-2020.zip")</f>
        <v>https://climate.onebuilding.org/WMO_Region_4_North_and_Central_America/USA_United_States_of_America/TX_Texas/USA_TX_Alice.Intl.AP.722517_US.Normals.1991-2020.zip</v>
      </c>
    </row>
    <row r="1650" spans="1:10" x14ac:dyDescent="0.25">
      <c r="A1650" t="s">
        <v>35</v>
      </c>
      <c r="B1650" t="s">
        <v>1023</v>
      </c>
      <c r="C1650" t="s">
        <v>1026</v>
      </c>
      <c r="D1650" s="2">
        <v>722517</v>
      </c>
      <c r="E1650" t="s">
        <v>13</v>
      </c>
      <c r="F1650">
        <v>27.741099999999999</v>
      </c>
      <c r="G1650">
        <v>-98.024699999999996</v>
      </c>
      <c r="H1650">
        <v>-7</v>
      </c>
      <c r="I1650">
        <v>52.7</v>
      </c>
      <c r="J1650" t="str">
        <f>HYPERLINK("https://climate.onebuilding.org/WMO_Region_4_North_and_Central_America/USA_United_States_of_America/TX_Texas/USA_TX_Alice.Intl.AP.722517_US.Normals.2006-2020.zip")</f>
        <v>https://climate.onebuilding.org/WMO_Region_4_North_and_Central_America/USA_United_States_of_America/TX_Texas/USA_TX_Alice.Intl.AP.722517_US.Normals.2006-2020.zip</v>
      </c>
    </row>
    <row r="1651" spans="1:10" x14ac:dyDescent="0.25">
      <c r="A1651" t="s">
        <v>35</v>
      </c>
      <c r="B1651" t="s">
        <v>1023</v>
      </c>
      <c r="C1651" t="s">
        <v>1027</v>
      </c>
      <c r="D1651" s="2">
        <v>723630</v>
      </c>
      <c r="E1651" t="s">
        <v>13</v>
      </c>
      <c r="F1651">
        <v>35.2333</v>
      </c>
      <c r="G1651">
        <v>-101.7089</v>
      </c>
      <c r="H1651">
        <v>-7</v>
      </c>
      <c r="I1651">
        <v>1093.3</v>
      </c>
      <c r="J1651" t="str">
        <f>HYPERLINK("https://climate.onebuilding.org/WMO_Region_4_North_and_Central_America/USA_United_States_of_America/TX_Texas/USA_TX_Amarillo-Husband.Amarillo.Intl.AP.723630_US.Normals.1981-2010.zip")</f>
        <v>https://climate.onebuilding.org/WMO_Region_4_North_and_Central_America/USA_United_States_of_America/TX_Texas/USA_TX_Amarillo-Husband.Amarillo.Intl.AP.723630_US.Normals.1981-2010.zip</v>
      </c>
    </row>
    <row r="1652" spans="1:10" x14ac:dyDescent="0.25">
      <c r="A1652" t="s">
        <v>35</v>
      </c>
      <c r="B1652" t="s">
        <v>1023</v>
      </c>
      <c r="C1652" t="s">
        <v>1027</v>
      </c>
      <c r="D1652" s="2">
        <v>723630</v>
      </c>
      <c r="E1652" t="s">
        <v>13</v>
      </c>
      <c r="F1652">
        <v>35.2333</v>
      </c>
      <c r="G1652">
        <v>-101.7089</v>
      </c>
      <c r="H1652">
        <v>-7</v>
      </c>
      <c r="I1652">
        <v>1093.3</v>
      </c>
      <c r="J1652" t="str">
        <f>HYPERLINK("https://climate.onebuilding.org/WMO_Region_4_North_and_Central_America/USA_United_States_of_America/TX_Texas/USA_TX_Amarillo-Husband.Amarillo.Intl.AP.723630_US.Normals.1991-2020.zip")</f>
        <v>https://climate.onebuilding.org/WMO_Region_4_North_and_Central_America/USA_United_States_of_America/TX_Texas/USA_TX_Amarillo-Husband.Amarillo.Intl.AP.723630_US.Normals.1991-2020.zip</v>
      </c>
    </row>
    <row r="1653" spans="1:10" x14ac:dyDescent="0.25">
      <c r="A1653" t="s">
        <v>35</v>
      </c>
      <c r="B1653" t="s">
        <v>1023</v>
      </c>
      <c r="C1653" t="s">
        <v>1027</v>
      </c>
      <c r="D1653" s="2">
        <v>723630</v>
      </c>
      <c r="E1653" t="s">
        <v>13</v>
      </c>
      <c r="F1653">
        <v>35.2333</v>
      </c>
      <c r="G1653">
        <v>-101.7089</v>
      </c>
      <c r="H1653">
        <v>-7</v>
      </c>
      <c r="I1653">
        <v>1093.3</v>
      </c>
      <c r="J1653" t="str">
        <f>HYPERLINK("https://climate.onebuilding.org/WMO_Region_4_North_and_Central_America/USA_United_States_of_America/TX_Texas/USA_TX_Amarillo-Husband.Amarillo.Intl.AP.723630_US.Normals.2006-2020.zip")</f>
        <v>https://climate.onebuilding.org/WMO_Region_4_North_and_Central_America/USA_United_States_of_America/TX_Texas/USA_TX_Amarillo-Husband.Amarillo.Intl.AP.723630_US.Normals.2006-2020.zip</v>
      </c>
    </row>
    <row r="1654" spans="1:10" x14ac:dyDescent="0.25">
      <c r="A1654" t="s">
        <v>35</v>
      </c>
      <c r="B1654" t="s">
        <v>1023</v>
      </c>
      <c r="C1654" t="s">
        <v>1028</v>
      </c>
      <c r="D1654" s="2">
        <v>722527</v>
      </c>
      <c r="E1654" t="s">
        <v>13</v>
      </c>
      <c r="F1654">
        <v>29.1097</v>
      </c>
      <c r="G1654">
        <v>-95.4619</v>
      </c>
      <c r="H1654">
        <v>-6</v>
      </c>
      <c r="I1654">
        <v>7.6</v>
      </c>
      <c r="J1654" t="str">
        <f>HYPERLINK("https://climate.onebuilding.org/WMO_Region_4_North_and_Central_America/USA_United_States_of_America/TX_Texas/USA_TX_Angleton-Texas.Gulf.Coast.Rgnl.AP.722527_US.Normals.2006-2020.zip")</f>
        <v>https://climate.onebuilding.org/WMO_Region_4_North_and_Central_America/USA_United_States_of_America/TX_Texas/USA_TX_Angleton-Texas.Gulf.Coast.Rgnl.AP.722527_US.Normals.2006-2020.zip</v>
      </c>
    </row>
    <row r="1655" spans="1:10" x14ac:dyDescent="0.25">
      <c r="A1655" t="s">
        <v>35</v>
      </c>
      <c r="B1655" t="s">
        <v>1023</v>
      </c>
      <c r="C1655" t="s">
        <v>1029</v>
      </c>
      <c r="D1655" s="2">
        <v>747470</v>
      </c>
      <c r="E1655" t="s">
        <v>13</v>
      </c>
      <c r="F1655">
        <v>28.304400000000001</v>
      </c>
      <c r="G1655">
        <v>-96.823099999999997</v>
      </c>
      <c r="H1655">
        <v>-6</v>
      </c>
      <c r="I1655">
        <v>4.5999999999999996</v>
      </c>
      <c r="J1655" t="str">
        <f>HYPERLINK("https://climate.onebuilding.org/WMO_Region_4_North_and_Central_America/USA_United_States_of_America/TX_Texas/USA_TX_Aransas.Natl.Wildlife.Refuge.747470_US.Normals.2006-2020.zip")</f>
        <v>https://climate.onebuilding.org/WMO_Region_4_North_and_Central_America/USA_United_States_of_America/TX_Texas/USA_TX_Aransas.Natl.Wildlife.Refuge.747470_US.Normals.2006-2020.zip</v>
      </c>
    </row>
    <row r="1656" spans="1:10" x14ac:dyDescent="0.25">
      <c r="A1656" t="s">
        <v>35</v>
      </c>
      <c r="B1656" t="s">
        <v>1023</v>
      </c>
      <c r="C1656" t="s">
        <v>1030</v>
      </c>
      <c r="D1656" s="2">
        <v>722479</v>
      </c>
      <c r="E1656" t="s">
        <v>13</v>
      </c>
      <c r="F1656">
        <v>32.663600000000002</v>
      </c>
      <c r="G1656">
        <v>-97.093900000000005</v>
      </c>
      <c r="H1656">
        <v>-6</v>
      </c>
      <c r="I1656">
        <v>192</v>
      </c>
      <c r="J1656" t="str">
        <f>HYPERLINK("https://climate.onebuilding.org/WMO_Region_4_North_and_Central_America/USA_United_States_of_America/TX_Texas/USA_TX_Arlington.Muni.AP.722479_US.Normals.2006-2020.zip")</f>
        <v>https://climate.onebuilding.org/WMO_Region_4_North_and_Central_America/USA_United_States_of_America/TX_Texas/USA_TX_Arlington.Muni.AP.722479_US.Normals.2006-2020.zip</v>
      </c>
    </row>
    <row r="1657" spans="1:10" x14ac:dyDescent="0.25">
      <c r="A1657" t="s">
        <v>35</v>
      </c>
      <c r="B1657" t="s">
        <v>1023</v>
      </c>
      <c r="C1657" t="s">
        <v>1031</v>
      </c>
      <c r="D1657" s="2">
        <v>722540</v>
      </c>
      <c r="E1657" t="s">
        <v>13</v>
      </c>
      <c r="F1657">
        <v>30.1831</v>
      </c>
      <c r="G1657">
        <v>-97.68</v>
      </c>
      <c r="H1657">
        <v>-7</v>
      </c>
      <c r="I1657">
        <v>146.30000000000001</v>
      </c>
      <c r="J1657" t="str">
        <f>HYPERLINK("https://climate.onebuilding.org/WMO_Region_4_North_and_Central_America/USA_United_States_of_America/TX_Texas/USA_TX_Austin-Bergstrom.Intl.AP.722540_US.Normals.1981-2010.zip")</f>
        <v>https://climate.onebuilding.org/WMO_Region_4_North_and_Central_America/USA_United_States_of_America/TX_Texas/USA_TX_Austin-Bergstrom.Intl.AP.722540_US.Normals.1981-2010.zip</v>
      </c>
    </row>
    <row r="1658" spans="1:10" x14ac:dyDescent="0.25">
      <c r="A1658" t="s">
        <v>35</v>
      </c>
      <c r="B1658" t="s">
        <v>1023</v>
      </c>
      <c r="C1658" t="s">
        <v>1031</v>
      </c>
      <c r="D1658" s="2">
        <v>722540</v>
      </c>
      <c r="E1658" t="s">
        <v>13</v>
      </c>
      <c r="F1658">
        <v>30.1831</v>
      </c>
      <c r="G1658">
        <v>-97.68</v>
      </c>
      <c r="H1658">
        <v>-7</v>
      </c>
      <c r="I1658">
        <v>146.30000000000001</v>
      </c>
      <c r="J1658" t="str">
        <f>HYPERLINK("https://climate.onebuilding.org/WMO_Region_4_North_and_Central_America/USA_United_States_of_America/TX_Texas/USA_TX_Austin-Bergstrom.Intl.AP.722540_US.Normals.2006-2020.zip")</f>
        <v>https://climate.onebuilding.org/WMO_Region_4_North_and_Central_America/USA_United_States_of_America/TX_Texas/USA_TX_Austin-Bergstrom.Intl.AP.722540_US.Normals.2006-2020.zip</v>
      </c>
    </row>
    <row r="1659" spans="1:10" x14ac:dyDescent="0.25">
      <c r="A1659" t="s">
        <v>35</v>
      </c>
      <c r="B1659" t="s">
        <v>1023</v>
      </c>
      <c r="C1659" t="s">
        <v>1032</v>
      </c>
      <c r="D1659" s="2">
        <v>722544</v>
      </c>
      <c r="E1659" t="s">
        <v>13</v>
      </c>
      <c r="F1659">
        <v>30.320799999999998</v>
      </c>
      <c r="G1659">
        <v>-97.760300000000001</v>
      </c>
      <c r="H1659">
        <v>-7</v>
      </c>
      <c r="I1659">
        <v>204.2</v>
      </c>
      <c r="J1659" t="str">
        <f>HYPERLINK("https://climate.onebuilding.org/WMO_Region_4_North_and_Central_America/USA_United_States_of_America/TX_Texas/USA_TX_Austin-Camp.Mabry.ANGB.722544_US.Normals.1981-2010.zip")</f>
        <v>https://climate.onebuilding.org/WMO_Region_4_North_and_Central_America/USA_United_States_of_America/TX_Texas/USA_TX_Austin-Camp.Mabry.ANGB.722544_US.Normals.1981-2010.zip</v>
      </c>
    </row>
    <row r="1660" spans="1:10" x14ac:dyDescent="0.25">
      <c r="A1660" t="s">
        <v>35</v>
      </c>
      <c r="B1660" t="s">
        <v>1023</v>
      </c>
      <c r="C1660" t="s">
        <v>1032</v>
      </c>
      <c r="D1660" s="2">
        <v>722544</v>
      </c>
      <c r="E1660" t="s">
        <v>13</v>
      </c>
      <c r="F1660">
        <v>30.320799999999998</v>
      </c>
      <c r="G1660">
        <v>-97.760300000000001</v>
      </c>
      <c r="H1660">
        <v>-7</v>
      </c>
      <c r="I1660">
        <v>204.2</v>
      </c>
      <c r="J1660" t="str">
        <f>HYPERLINK("https://climate.onebuilding.org/WMO_Region_4_North_and_Central_America/USA_United_States_of_America/TX_Texas/USA_TX_Austin-Camp.Mabry.ANGB.722544_US.Normals.2006-2020.zip")</f>
        <v>https://climate.onebuilding.org/WMO_Region_4_North_and_Central_America/USA_United_States_of_America/TX_Texas/USA_TX_Austin-Camp.Mabry.ANGB.722544_US.Normals.2006-2020.zip</v>
      </c>
    </row>
    <row r="1661" spans="1:10" x14ac:dyDescent="0.25">
      <c r="A1661" t="s">
        <v>35</v>
      </c>
      <c r="B1661" t="s">
        <v>1023</v>
      </c>
      <c r="C1661" t="s">
        <v>1033</v>
      </c>
      <c r="D1661" s="2">
        <v>722410</v>
      </c>
      <c r="E1661" t="s">
        <v>13</v>
      </c>
      <c r="F1661">
        <v>29.950600000000001</v>
      </c>
      <c r="G1661">
        <v>-94.020600000000002</v>
      </c>
      <c r="H1661">
        <v>-6</v>
      </c>
      <c r="I1661">
        <v>4.9000000000000004</v>
      </c>
      <c r="J1661" t="str">
        <f>HYPERLINK("https://climate.onebuilding.org/WMO_Region_4_North_and_Central_America/USA_United_States_of_America/TX_Texas/USA_TX_Beaumont-Port.Arthur-Brooks.Rgnl.AP.722410_US.Normals.1981-2010.zip")</f>
        <v>https://climate.onebuilding.org/WMO_Region_4_North_and_Central_America/USA_United_States_of_America/TX_Texas/USA_TX_Beaumont-Port.Arthur-Brooks.Rgnl.AP.722410_US.Normals.1981-2010.zip</v>
      </c>
    </row>
    <row r="1662" spans="1:10" x14ac:dyDescent="0.25">
      <c r="A1662" t="s">
        <v>35</v>
      </c>
      <c r="B1662" t="s">
        <v>1023</v>
      </c>
      <c r="C1662" t="s">
        <v>1033</v>
      </c>
      <c r="D1662" s="2">
        <v>722410</v>
      </c>
      <c r="E1662" t="s">
        <v>13</v>
      </c>
      <c r="F1662">
        <v>29.950600000000001</v>
      </c>
      <c r="G1662">
        <v>-94.020600000000002</v>
      </c>
      <c r="H1662">
        <v>-6</v>
      </c>
      <c r="I1662">
        <v>4.9000000000000004</v>
      </c>
      <c r="J1662" t="str">
        <f>HYPERLINK("https://climate.onebuilding.org/WMO_Region_4_North_and_Central_America/USA_United_States_of_America/TX_Texas/USA_TX_Beaumont-Port.Arthur-Brooks.Rgnl.AP.722410_US.Normals.1991-2020.zip")</f>
        <v>https://climate.onebuilding.org/WMO_Region_4_North_and_Central_America/USA_United_States_of_America/TX_Texas/USA_TX_Beaumont-Port.Arthur-Brooks.Rgnl.AP.722410_US.Normals.1991-2020.zip</v>
      </c>
    </row>
    <row r="1663" spans="1:10" x14ac:dyDescent="0.25">
      <c r="A1663" t="s">
        <v>35</v>
      </c>
      <c r="B1663" t="s">
        <v>1023</v>
      </c>
      <c r="C1663" t="s">
        <v>1033</v>
      </c>
      <c r="D1663" s="2">
        <v>722410</v>
      </c>
      <c r="E1663" t="s">
        <v>13</v>
      </c>
      <c r="F1663">
        <v>29.950600000000001</v>
      </c>
      <c r="G1663">
        <v>-94.020600000000002</v>
      </c>
      <c r="H1663">
        <v>-6</v>
      </c>
      <c r="I1663">
        <v>4.9000000000000004</v>
      </c>
      <c r="J1663" t="str">
        <f>HYPERLINK("https://climate.onebuilding.org/WMO_Region_4_North_and_Central_America/USA_United_States_of_America/TX_Texas/USA_TX_Beaumont-Port.Arthur-Brooks.Rgnl.AP.722410_US.Normals.2006-2020.zip")</f>
        <v>https://climate.onebuilding.org/WMO_Region_4_North_and_Central_America/USA_United_States_of_America/TX_Texas/USA_TX_Beaumont-Port.Arthur-Brooks.Rgnl.AP.722410_US.Normals.2006-2020.zip</v>
      </c>
    </row>
    <row r="1664" spans="1:10" x14ac:dyDescent="0.25">
      <c r="A1664" t="s">
        <v>35</v>
      </c>
      <c r="B1664" t="s">
        <v>1023</v>
      </c>
      <c r="C1664" t="s">
        <v>1034</v>
      </c>
      <c r="D1664" s="2">
        <v>747280</v>
      </c>
      <c r="E1664" t="s">
        <v>13</v>
      </c>
      <c r="F1664">
        <v>29.348299999999998</v>
      </c>
      <c r="G1664">
        <v>-103.2092</v>
      </c>
      <c r="H1664">
        <v>-7</v>
      </c>
      <c r="I1664">
        <v>1065</v>
      </c>
      <c r="J1664" t="str">
        <f>HYPERLINK("https://climate.onebuilding.org/WMO_Region_4_North_and_Central_America/USA_United_States_of_America/TX_Texas/USA_TX_Big.Bend.Natl.Park-Panther.Junction.747280_US.Normals.2006-2020.zip")</f>
        <v>https://climate.onebuilding.org/WMO_Region_4_North_and_Central_America/USA_United_States_of_America/TX_Texas/USA_TX_Big.Bend.Natl.Park-Panther.Junction.747280_US.Normals.2006-2020.zip</v>
      </c>
    </row>
    <row r="1665" spans="1:10" x14ac:dyDescent="0.25">
      <c r="A1665" t="s">
        <v>35</v>
      </c>
      <c r="B1665" t="s">
        <v>1023</v>
      </c>
      <c r="C1665" t="s">
        <v>1035</v>
      </c>
      <c r="D1665" s="2">
        <v>723635</v>
      </c>
      <c r="E1665" t="s">
        <v>13</v>
      </c>
      <c r="F1665">
        <v>35.695</v>
      </c>
      <c r="G1665">
        <v>-101.395</v>
      </c>
      <c r="H1665">
        <v>-7</v>
      </c>
      <c r="I1665">
        <v>930.9</v>
      </c>
      <c r="J1665" t="str">
        <f>HYPERLINK("https://climate.onebuilding.org/WMO_Region_4_North_and_Central_America/USA_United_States_of_America/TX_Texas/USA_TX_Borger-Hutchinson.County.AP.723635_US.Normals.2006-2020.zip")</f>
        <v>https://climate.onebuilding.org/WMO_Region_4_North_and_Central_America/USA_United_States_of_America/TX_Texas/USA_TX_Borger-Hutchinson.County.AP.723635_US.Normals.2006-2020.zip</v>
      </c>
    </row>
    <row r="1666" spans="1:10" x14ac:dyDescent="0.25">
      <c r="A1666" t="s">
        <v>35</v>
      </c>
      <c r="B1666" t="s">
        <v>1023</v>
      </c>
      <c r="C1666" t="s">
        <v>1036</v>
      </c>
      <c r="D1666" s="2">
        <v>722500</v>
      </c>
      <c r="E1666" t="s">
        <v>13</v>
      </c>
      <c r="F1666">
        <v>25.915600000000001</v>
      </c>
      <c r="G1666">
        <v>-97.418599999999998</v>
      </c>
      <c r="H1666">
        <v>-6</v>
      </c>
      <c r="I1666">
        <v>7</v>
      </c>
      <c r="J1666" t="str">
        <f>HYPERLINK("https://climate.onebuilding.org/WMO_Region_4_North_and_Central_America/USA_United_States_of_America/TX_Texas/USA_TX_Brownsville-South.Padre.Island.Intl.AP.722500_US.Normals.1981-2010.zip")</f>
        <v>https://climate.onebuilding.org/WMO_Region_4_North_and_Central_America/USA_United_States_of_America/TX_Texas/USA_TX_Brownsville-South.Padre.Island.Intl.AP.722500_US.Normals.1981-2010.zip</v>
      </c>
    </row>
    <row r="1667" spans="1:10" x14ac:dyDescent="0.25">
      <c r="A1667" t="s">
        <v>35</v>
      </c>
      <c r="B1667" t="s">
        <v>1023</v>
      </c>
      <c r="C1667" t="s">
        <v>1036</v>
      </c>
      <c r="D1667" s="2">
        <v>722500</v>
      </c>
      <c r="E1667" t="s">
        <v>13</v>
      </c>
      <c r="F1667">
        <v>25.915600000000001</v>
      </c>
      <c r="G1667">
        <v>-97.418599999999998</v>
      </c>
      <c r="H1667">
        <v>-6</v>
      </c>
      <c r="I1667">
        <v>7</v>
      </c>
      <c r="J1667" t="str">
        <f>HYPERLINK("https://climate.onebuilding.org/WMO_Region_4_North_and_Central_America/USA_United_States_of_America/TX_Texas/USA_TX_Brownsville-South.Padre.Island.Intl.AP.722500_US.Normals.1991-2020.zip")</f>
        <v>https://climate.onebuilding.org/WMO_Region_4_North_and_Central_America/USA_United_States_of_America/TX_Texas/USA_TX_Brownsville-South.Padre.Island.Intl.AP.722500_US.Normals.1991-2020.zip</v>
      </c>
    </row>
    <row r="1668" spans="1:10" x14ac:dyDescent="0.25">
      <c r="A1668" t="s">
        <v>35</v>
      </c>
      <c r="B1668" t="s">
        <v>1023</v>
      </c>
      <c r="C1668" t="s">
        <v>1036</v>
      </c>
      <c r="D1668" s="2">
        <v>722500</v>
      </c>
      <c r="E1668" t="s">
        <v>13</v>
      </c>
      <c r="F1668">
        <v>25.915600000000001</v>
      </c>
      <c r="G1668">
        <v>-97.418599999999998</v>
      </c>
      <c r="H1668">
        <v>-6</v>
      </c>
      <c r="I1668">
        <v>7</v>
      </c>
      <c r="J1668" t="str">
        <f>HYPERLINK("https://climate.onebuilding.org/WMO_Region_4_North_and_Central_America/USA_United_States_of_America/TX_Texas/USA_TX_Brownsville-South.Padre.Island.Intl.AP.722500_US.Normals.2006-2020.zip")</f>
        <v>https://climate.onebuilding.org/WMO_Region_4_North_and_Central_America/USA_United_States_of_America/TX_Texas/USA_TX_Brownsville-South.Padre.Island.Intl.AP.722500_US.Normals.2006-2020.zip</v>
      </c>
    </row>
    <row r="1669" spans="1:10" x14ac:dyDescent="0.25">
      <c r="A1669" t="s">
        <v>35</v>
      </c>
      <c r="B1669" t="s">
        <v>1023</v>
      </c>
      <c r="C1669" t="s">
        <v>1037</v>
      </c>
      <c r="D1669" s="2">
        <v>722542</v>
      </c>
      <c r="E1669" t="s">
        <v>13</v>
      </c>
      <c r="F1669">
        <v>30.740600000000001</v>
      </c>
      <c r="G1669">
        <v>-98.235299999999995</v>
      </c>
      <c r="H1669">
        <v>-7</v>
      </c>
      <c r="I1669">
        <v>392.6</v>
      </c>
      <c r="J1669" t="str">
        <f>HYPERLINK("https://climate.onebuilding.org/WMO_Region_4_North_and_Central_America/USA_United_States_of_America/TX_Texas/USA_TX_Burnet.Muni.AP-Craddock.Field.722542_US.Normals.2006-2020.zip")</f>
        <v>https://climate.onebuilding.org/WMO_Region_4_North_and_Central_America/USA_United_States_of_America/TX_Texas/USA_TX_Burnet.Muni.AP-Craddock.Field.722542_US.Normals.2006-2020.zip</v>
      </c>
    </row>
    <row r="1670" spans="1:10" x14ac:dyDescent="0.25">
      <c r="A1670" t="s">
        <v>35</v>
      </c>
      <c r="B1670" t="s">
        <v>1023</v>
      </c>
      <c r="C1670" t="s">
        <v>1038</v>
      </c>
      <c r="D1670" s="2">
        <v>723660</v>
      </c>
      <c r="E1670" t="s">
        <v>13</v>
      </c>
      <c r="F1670">
        <v>34.427199999999999</v>
      </c>
      <c r="G1670">
        <v>-100.2831</v>
      </c>
      <c r="H1670">
        <v>-7</v>
      </c>
      <c r="I1670">
        <v>594.70000000000005</v>
      </c>
      <c r="J1670" t="str">
        <f>HYPERLINK("https://climate.onebuilding.org/WMO_Region_4_North_and_Central_America/USA_United_States_of_America/TX_Texas/USA_TX_Childress.Muni.AP.723660_US.Normals.2006-2020.zip")</f>
        <v>https://climate.onebuilding.org/WMO_Region_4_North_and_Central_America/USA_United_States_of_America/TX_Texas/USA_TX_Childress.Muni.AP.723660_US.Normals.2006-2020.zip</v>
      </c>
    </row>
    <row r="1671" spans="1:10" x14ac:dyDescent="0.25">
      <c r="A1671" t="s">
        <v>35</v>
      </c>
      <c r="B1671" t="s">
        <v>1023</v>
      </c>
      <c r="C1671" t="s">
        <v>1039</v>
      </c>
      <c r="D1671" s="2">
        <v>747460</v>
      </c>
      <c r="E1671" t="s">
        <v>13</v>
      </c>
      <c r="F1671">
        <v>30.589200000000002</v>
      </c>
      <c r="G1671">
        <v>-96.364699999999999</v>
      </c>
      <c r="H1671">
        <v>-6</v>
      </c>
      <c r="I1671">
        <v>93</v>
      </c>
      <c r="J1671" t="str">
        <f>HYPERLINK("https://climate.onebuilding.org/WMO_Region_4_North_and_Central_America/USA_United_States_of_America/TX_Texas/USA_TX_College.Station-Easterwood.AP.747460_US.Normals.1981-2010.zip")</f>
        <v>https://climate.onebuilding.org/WMO_Region_4_North_and_Central_America/USA_United_States_of_America/TX_Texas/USA_TX_College.Station-Easterwood.AP.747460_US.Normals.1981-2010.zip</v>
      </c>
    </row>
    <row r="1672" spans="1:10" x14ac:dyDescent="0.25">
      <c r="A1672" t="s">
        <v>35</v>
      </c>
      <c r="B1672" t="s">
        <v>1023</v>
      </c>
      <c r="C1672" t="s">
        <v>1039</v>
      </c>
      <c r="D1672" s="2">
        <v>747460</v>
      </c>
      <c r="E1672" t="s">
        <v>13</v>
      </c>
      <c r="F1672">
        <v>30.589200000000002</v>
      </c>
      <c r="G1672">
        <v>-96.364699999999999</v>
      </c>
      <c r="H1672">
        <v>-6</v>
      </c>
      <c r="I1672">
        <v>93</v>
      </c>
      <c r="J1672" t="str">
        <f>HYPERLINK("https://climate.onebuilding.org/WMO_Region_4_North_and_Central_America/USA_United_States_of_America/TX_Texas/USA_TX_College.Station-Easterwood.AP.747460_US.Normals.2006-2020.zip")</f>
        <v>https://climate.onebuilding.org/WMO_Region_4_North_and_Central_America/USA_United_States_of_America/TX_Texas/USA_TX_College.Station-Easterwood.AP.747460_US.Normals.2006-2020.zip</v>
      </c>
    </row>
    <row r="1673" spans="1:10" x14ac:dyDescent="0.25">
      <c r="A1673" t="s">
        <v>35</v>
      </c>
      <c r="B1673" t="s">
        <v>1023</v>
      </c>
      <c r="C1673" t="s">
        <v>1040</v>
      </c>
      <c r="D1673" s="2">
        <v>722444</v>
      </c>
      <c r="E1673" t="s">
        <v>13</v>
      </c>
      <c r="F1673">
        <v>30.3567</v>
      </c>
      <c r="G1673">
        <v>-95.413899999999998</v>
      </c>
      <c r="H1673">
        <v>-6</v>
      </c>
      <c r="I1673">
        <v>74.7</v>
      </c>
      <c r="J1673" t="str">
        <f>HYPERLINK("https://climate.onebuilding.org/WMO_Region_4_North_and_Central_America/USA_United_States_of_America/TX_Texas/USA_TX_Conroe-North.Houston.Rgnl.AP.722444_US.Normals.2006-2020.zip")</f>
        <v>https://climate.onebuilding.org/WMO_Region_4_North_and_Central_America/USA_United_States_of_America/TX_Texas/USA_TX_Conroe-North.Houston.Rgnl.AP.722444_US.Normals.2006-2020.zip</v>
      </c>
    </row>
    <row r="1674" spans="1:10" x14ac:dyDescent="0.25">
      <c r="A1674" t="s">
        <v>35</v>
      </c>
      <c r="B1674" t="s">
        <v>1023</v>
      </c>
      <c r="C1674" t="s">
        <v>1041</v>
      </c>
      <c r="D1674" s="2">
        <v>722510</v>
      </c>
      <c r="E1674" t="s">
        <v>13</v>
      </c>
      <c r="F1674">
        <v>27.783899999999999</v>
      </c>
      <c r="G1674">
        <v>-97.510800000000003</v>
      </c>
      <c r="H1674">
        <v>-7</v>
      </c>
      <c r="I1674">
        <v>13.7</v>
      </c>
      <c r="J1674" t="str">
        <f>HYPERLINK("https://climate.onebuilding.org/WMO_Region_4_North_and_Central_America/USA_United_States_of_America/TX_Texas/USA_TX_Corpus.Christi.Intl.AP.722510_US.Normals.1981-2010.zip")</f>
        <v>https://climate.onebuilding.org/WMO_Region_4_North_and_Central_America/USA_United_States_of_America/TX_Texas/USA_TX_Corpus.Christi.Intl.AP.722510_US.Normals.1981-2010.zip</v>
      </c>
    </row>
    <row r="1675" spans="1:10" x14ac:dyDescent="0.25">
      <c r="A1675" t="s">
        <v>35</v>
      </c>
      <c r="B1675" t="s">
        <v>1023</v>
      </c>
      <c r="C1675" t="s">
        <v>1041</v>
      </c>
      <c r="D1675" s="2">
        <v>722510</v>
      </c>
      <c r="E1675" t="s">
        <v>13</v>
      </c>
      <c r="F1675">
        <v>27.783899999999999</v>
      </c>
      <c r="G1675">
        <v>-97.510800000000003</v>
      </c>
      <c r="H1675">
        <v>-7</v>
      </c>
      <c r="I1675">
        <v>13.7</v>
      </c>
      <c r="J1675" t="str">
        <f>HYPERLINK("https://climate.onebuilding.org/WMO_Region_4_North_and_Central_America/USA_United_States_of_America/TX_Texas/USA_TX_Corpus.Christi.Intl.AP.722510_US.Normals.1991-2020.zip")</f>
        <v>https://climate.onebuilding.org/WMO_Region_4_North_and_Central_America/USA_United_States_of_America/TX_Texas/USA_TX_Corpus.Christi.Intl.AP.722510_US.Normals.1991-2020.zip</v>
      </c>
    </row>
    <row r="1676" spans="1:10" x14ac:dyDescent="0.25">
      <c r="A1676" t="s">
        <v>35</v>
      </c>
      <c r="B1676" t="s">
        <v>1023</v>
      </c>
      <c r="C1676" t="s">
        <v>1041</v>
      </c>
      <c r="D1676" s="2">
        <v>722510</v>
      </c>
      <c r="E1676" t="s">
        <v>13</v>
      </c>
      <c r="F1676">
        <v>27.783899999999999</v>
      </c>
      <c r="G1676">
        <v>-97.510800000000003</v>
      </c>
      <c r="H1676">
        <v>-7</v>
      </c>
      <c r="I1676">
        <v>13.7</v>
      </c>
      <c r="J1676" t="str">
        <f>HYPERLINK("https://climate.onebuilding.org/WMO_Region_4_North_and_Central_America/USA_United_States_of_America/TX_Texas/USA_TX_Corpus.Christi.Intl.AP.722510_US.Normals.2006-2020.zip")</f>
        <v>https://climate.onebuilding.org/WMO_Region_4_North_and_Central_America/USA_United_States_of_America/TX_Texas/USA_TX_Corpus.Christi.Intl.AP.722510_US.Normals.2006-2020.zip</v>
      </c>
    </row>
    <row r="1677" spans="1:10" x14ac:dyDescent="0.25">
      <c r="A1677" t="s">
        <v>35</v>
      </c>
      <c r="B1677" t="s">
        <v>1023</v>
      </c>
      <c r="C1677" t="s">
        <v>1042</v>
      </c>
      <c r="D1677" s="2">
        <v>722469</v>
      </c>
      <c r="E1677" t="s">
        <v>13</v>
      </c>
      <c r="F1677">
        <v>32.031100000000002</v>
      </c>
      <c r="G1677">
        <v>-96.398899999999998</v>
      </c>
      <c r="H1677">
        <v>-6</v>
      </c>
      <c r="I1677">
        <v>136.6</v>
      </c>
      <c r="J1677" t="str">
        <f>HYPERLINK("https://climate.onebuilding.org/WMO_Region_4_North_and_Central_America/USA_United_States_of_America/TX_Texas/USA_TX_Corsicana.Muni.AP-Campbell.Field.722469_US.Normals.2006-2020.zip")</f>
        <v>https://climate.onebuilding.org/WMO_Region_4_North_and_Central_America/USA_United_States_of_America/TX_Texas/USA_TX_Corsicana.Muni.AP-Campbell.Field.722469_US.Normals.2006-2020.zip</v>
      </c>
    </row>
    <row r="1678" spans="1:10" x14ac:dyDescent="0.25">
      <c r="A1678" t="s">
        <v>35</v>
      </c>
      <c r="B1678" t="s">
        <v>1023</v>
      </c>
      <c r="C1678" t="s">
        <v>1043</v>
      </c>
      <c r="D1678" s="2">
        <v>722526</v>
      </c>
      <c r="E1678" t="s">
        <v>13</v>
      </c>
      <c r="F1678">
        <v>28.456700000000001</v>
      </c>
      <c r="G1678">
        <v>-99.218299999999999</v>
      </c>
      <c r="H1678">
        <v>-7</v>
      </c>
      <c r="I1678">
        <v>145.1</v>
      </c>
      <c r="J1678" t="str">
        <f>HYPERLINK("https://climate.onebuilding.org/WMO_Region_4_North_and_Central_America/USA_United_States_of_America/TX_Texas/USA_TX_Cotulla-La.Salle.County.AP.722526_US.Normals.2006-2020.zip")</f>
        <v>https://climate.onebuilding.org/WMO_Region_4_North_and_Central_America/USA_United_States_of_America/TX_Texas/USA_TX_Cotulla-La.Salle.County.AP.722526_US.Normals.2006-2020.zip</v>
      </c>
    </row>
    <row r="1679" spans="1:10" x14ac:dyDescent="0.25">
      <c r="A1679" t="s">
        <v>35</v>
      </c>
      <c r="B1679" t="s">
        <v>1023</v>
      </c>
      <c r="C1679" t="s">
        <v>1044</v>
      </c>
      <c r="D1679" s="2">
        <v>747360</v>
      </c>
      <c r="E1679" t="s">
        <v>13</v>
      </c>
      <c r="F1679">
        <v>36.0167</v>
      </c>
      <c r="G1679">
        <v>-102.55</v>
      </c>
      <c r="H1679">
        <v>-7</v>
      </c>
      <c r="I1679">
        <v>1216.2</v>
      </c>
      <c r="J1679" t="str">
        <f>HYPERLINK("https://climate.onebuilding.org/WMO_Region_4_North_and_Central_America/USA_United_States_of_America/TX_Texas/USA_TX_Dalhart.Muni.AP.747360_US.Normals.2006-2020.zip")</f>
        <v>https://climate.onebuilding.org/WMO_Region_4_North_and_Central_America/USA_United_States_of_America/TX_Texas/USA_TX_Dalhart.Muni.AP.747360_US.Normals.2006-2020.zip</v>
      </c>
    </row>
    <row r="1680" spans="1:10" x14ac:dyDescent="0.25">
      <c r="A1680" t="s">
        <v>35</v>
      </c>
      <c r="B1680" t="s">
        <v>1023</v>
      </c>
      <c r="C1680" t="s">
        <v>1045</v>
      </c>
      <c r="D1680" s="2">
        <v>722590</v>
      </c>
      <c r="E1680" t="s">
        <v>13</v>
      </c>
      <c r="F1680">
        <v>32.897799999999997</v>
      </c>
      <c r="G1680">
        <v>-97.018900000000002</v>
      </c>
      <c r="H1680">
        <v>-6</v>
      </c>
      <c r="I1680">
        <v>170.7</v>
      </c>
      <c r="J1680" t="str">
        <f>HYPERLINK("https://climate.onebuilding.org/WMO_Region_4_North_and_Central_America/USA_United_States_of_America/TX_Texas/USA_TX_Dallas-Fort.Worth.Intl.AP.722590_US.Normals.1981-2010.zip")</f>
        <v>https://climate.onebuilding.org/WMO_Region_4_North_and_Central_America/USA_United_States_of_America/TX_Texas/USA_TX_Dallas-Fort.Worth.Intl.AP.722590_US.Normals.1981-2010.zip</v>
      </c>
    </row>
    <row r="1681" spans="1:10" x14ac:dyDescent="0.25">
      <c r="A1681" t="s">
        <v>35</v>
      </c>
      <c r="B1681" t="s">
        <v>1023</v>
      </c>
      <c r="C1681" t="s">
        <v>1045</v>
      </c>
      <c r="D1681" s="2">
        <v>722590</v>
      </c>
      <c r="E1681" t="s">
        <v>13</v>
      </c>
      <c r="F1681">
        <v>32.897799999999997</v>
      </c>
      <c r="G1681">
        <v>-97.018900000000002</v>
      </c>
      <c r="H1681">
        <v>-6</v>
      </c>
      <c r="I1681">
        <v>170.7</v>
      </c>
      <c r="J1681" t="str">
        <f>HYPERLINK("https://climate.onebuilding.org/WMO_Region_4_North_and_Central_America/USA_United_States_of_America/TX_Texas/USA_TX_Dallas-Fort.Worth.Intl.AP.722590_US.Normals.1991-2020.zip")</f>
        <v>https://climate.onebuilding.org/WMO_Region_4_North_and_Central_America/USA_United_States_of_America/TX_Texas/USA_TX_Dallas-Fort.Worth.Intl.AP.722590_US.Normals.1991-2020.zip</v>
      </c>
    </row>
    <row r="1682" spans="1:10" x14ac:dyDescent="0.25">
      <c r="A1682" t="s">
        <v>35</v>
      </c>
      <c r="B1682" t="s">
        <v>1023</v>
      </c>
      <c r="C1682" t="s">
        <v>1045</v>
      </c>
      <c r="D1682" s="2">
        <v>722590</v>
      </c>
      <c r="E1682" t="s">
        <v>13</v>
      </c>
      <c r="F1682">
        <v>32.897799999999997</v>
      </c>
      <c r="G1682">
        <v>-97.018900000000002</v>
      </c>
      <c r="H1682">
        <v>-6</v>
      </c>
      <c r="I1682">
        <v>170.7</v>
      </c>
      <c r="J1682" t="str">
        <f>HYPERLINK("https://climate.onebuilding.org/WMO_Region_4_North_and_Central_America/USA_United_States_of_America/TX_Texas/USA_TX_Dallas-Fort.Worth.Intl.AP.722590_US.Normals.2006-2020.zip")</f>
        <v>https://climate.onebuilding.org/WMO_Region_4_North_and_Central_America/USA_United_States_of_America/TX_Texas/USA_TX_Dallas-Fort.Worth.Intl.AP.722590_US.Normals.2006-2020.zip</v>
      </c>
    </row>
    <row r="1683" spans="1:10" x14ac:dyDescent="0.25">
      <c r="A1683" t="s">
        <v>35</v>
      </c>
      <c r="B1683" t="s">
        <v>1023</v>
      </c>
      <c r="C1683" t="s">
        <v>1046</v>
      </c>
      <c r="D1683" s="2">
        <v>722599</v>
      </c>
      <c r="E1683" t="s">
        <v>13</v>
      </c>
      <c r="F1683">
        <v>32.680799999999998</v>
      </c>
      <c r="G1683">
        <v>-96.868099999999998</v>
      </c>
      <c r="H1683">
        <v>-6</v>
      </c>
      <c r="I1683">
        <v>200.6</v>
      </c>
      <c r="J1683" t="str">
        <f>HYPERLINK("https://climate.onebuilding.org/WMO_Region_4_North_and_Central_America/USA_United_States_of_America/TX_Texas/USA_TX_Dallas.Exec.AP.722599_US.Normals.2006-2020.zip")</f>
        <v>https://climate.onebuilding.org/WMO_Region_4_North_and_Central_America/USA_United_States_of_America/TX_Texas/USA_TX_Dallas.Exec.AP.722599_US.Normals.2006-2020.zip</v>
      </c>
    </row>
    <row r="1684" spans="1:10" x14ac:dyDescent="0.25">
      <c r="A1684" t="s">
        <v>35</v>
      </c>
      <c r="B1684" t="s">
        <v>1023</v>
      </c>
      <c r="C1684" t="s">
        <v>1047</v>
      </c>
      <c r="D1684" s="2">
        <v>722615</v>
      </c>
      <c r="E1684" t="s">
        <v>13</v>
      </c>
      <c r="F1684">
        <v>29.366700000000002</v>
      </c>
      <c r="G1684">
        <v>-100.7833</v>
      </c>
      <c r="H1684">
        <v>-7</v>
      </c>
      <c r="I1684">
        <v>327.10000000000002</v>
      </c>
      <c r="J1684" t="str">
        <f>HYPERLINK("https://climate.onebuilding.org/WMO_Region_4_North_and_Central_America/USA_United_States_of_America/TX_Texas/USA_TX_Del.Rio-Laughlin.AFB.722615_US.Normals.2006-2020.zip")</f>
        <v>https://climate.onebuilding.org/WMO_Region_4_North_and_Central_America/USA_United_States_of_America/TX_Texas/USA_TX_Del.Rio-Laughlin.AFB.722615_US.Normals.2006-2020.zip</v>
      </c>
    </row>
    <row r="1685" spans="1:10" x14ac:dyDescent="0.25">
      <c r="A1685" t="s">
        <v>35</v>
      </c>
      <c r="B1685" t="s">
        <v>1023</v>
      </c>
      <c r="C1685" t="s">
        <v>1048</v>
      </c>
      <c r="D1685" s="2">
        <v>722610</v>
      </c>
      <c r="E1685" t="s">
        <v>13</v>
      </c>
      <c r="F1685">
        <v>29.378299999999999</v>
      </c>
      <c r="G1685">
        <v>-100.9269</v>
      </c>
      <c r="H1685">
        <v>-7</v>
      </c>
      <c r="I1685">
        <v>304.5</v>
      </c>
      <c r="J1685" t="str">
        <f>HYPERLINK("https://climate.onebuilding.org/WMO_Region_4_North_and_Central_America/USA_United_States_of_America/TX_Texas/USA_TX_Del.Rio.Intl.AP.722610_US.Normals.1991-2020.zip")</f>
        <v>https://climate.onebuilding.org/WMO_Region_4_North_and_Central_America/USA_United_States_of_America/TX_Texas/USA_TX_Del.Rio.Intl.AP.722610_US.Normals.1991-2020.zip</v>
      </c>
    </row>
    <row r="1686" spans="1:10" x14ac:dyDescent="0.25">
      <c r="A1686" t="s">
        <v>35</v>
      </c>
      <c r="B1686" t="s">
        <v>1023</v>
      </c>
      <c r="C1686" t="s">
        <v>1048</v>
      </c>
      <c r="D1686" s="2">
        <v>722610</v>
      </c>
      <c r="E1686" t="s">
        <v>13</v>
      </c>
      <c r="F1686">
        <v>29.378299999999999</v>
      </c>
      <c r="G1686">
        <v>-100.9269</v>
      </c>
      <c r="H1686">
        <v>-7</v>
      </c>
      <c r="I1686">
        <v>304.5</v>
      </c>
      <c r="J1686" t="str">
        <f>HYPERLINK("https://climate.onebuilding.org/WMO_Region_4_North_and_Central_America/USA_United_States_of_America/TX_Texas/USA_TX_Del.Rio.Intl.AP.722610_US.Normals.2006-2020.zip")</f>
        <v>https://climate.onebuilding.org/WMO_Region_4_North_and_Central_America/USA_United_States_of_America/TX_Texas/USA_TX_Del.Rio.Intl.AP.722610_US.Normals.2006-2020.zip</v>
      </c>
    </row>
    <row r="1687" spans="1:10" x14ac:dyDescent="0.25">
      <c r="A1687" t="s">
        <v>35</v>
      </c>
      <c r="B1687" t="s">
        <v>1023</v>
      </c>
      <c r="C1687" t="s">
        <v>1049</v>
      </c>
      <c r="D1687" s="2">
        <v>722589</v>
      </c>
      <c r="E1687" t="s">
        <v>13</v>
      </c>
      <c r="F1687">
        <v>33.206099999999999</v>
      </c>
      <c r="G1687">
        <v>-97.198899999999995</v>
      </c>
      <c r="H1687">
        <v>-6</v>
      </c>
      <c r="I1687">
        <v>195.7</v>
      </c>
      <c r="J1687" t="str">
        <f>HYPERLINK("https://climate.onebuilding.org/WMO_Region_4_North_and_Central_America/USA_United_States_of_America/TX_Texas/USA_TX_Denton.Enterprise.AP.722589_US.Normals.2006-2020.zip")</f>
        <v>https://climate.onebuilding.org/WMO_Region_4_North_and_Central_America/USA_United_States_of_America/TX_Texas/USA_TX_Denton.Enterprise.AP.722589_US.Normals.2006-2020.zip</v>
      </c>
    </row>
    <row r="1688" spans="1:10" x14ac:dyDescent="0.25">
      <c r="A1688" t="s">
        <v>35</v>
      </c>
      <c r="B1688" t="s">
        <v>1023</v>
      </c>
      <c r="C1688" t="s">
        <v>1050</v>
      </c>
      <c r="D1688" s="2">
        <v>722700</v>
      </c>
      <c r="E1688" t="s">
        <v>13</v>
      </c>
      <c r="F1688">
        <v>31.8111</v>
      </c>
      <c r="G1688">
        <v>-106.3758</v>
      </c>
      <c r="H1688">
        <v>-7</v>
      </c>
      <c r="I1688">
        <v>1194.2</v>
      </c>
      <c r="J1688" t="str">
        <f>HYPERLINK("https://climate.onebuilding.org/WMO_Region_4_North_and_Central_America/USA_United_States_of_America/TX_Texas/USA_TX_El.Paso.Intl.AP.722700_US.Normals.1981-2010.zip")</f>
        <v>https://climate.onebuilding.org/WMO_Region_4_North_and_Central_America/USA_United_States_of_America/TX_Texas/USA_TX_El.Paso.Intl.AP.722700_US.Normals.1981-2010.zip</v>
      </c>
    </row>
    <row r="1689" spans="1:10" x14ac:dyDescent="0.25">
      <c r="A1689" t="s">
        <v>35</v>
      </c>
      <c r="B1689" t="s">
        <v>1023</v>
      </c>
      <c r="C1689" t="s">
        <v>1050</v>
      </c>
      <c r="D1689" s="2">
        <v>722700</v>
      </c>
      <c r="E1689" t="s">
        <v>13</v>
      </c>
      <c r="F1689">
        <v>31.8111</v>
      </c>
      <c r="G1689">
        <v>-106.3758</v>
      </c>
      <c r="H1689">
        <v>-7</v>
      </c>
      <c r="I1689">
        <v>1194.2</v>
      </c>
      <c r="J1689" t="str">
        <f>HYPERLINK("https://climate.onebuilding.org/WMO_Region_4_North_and_Central_America/USA_United_States_of_America/TX_Texas/USA_TX_El.Paso.Intl.AP.722700_US.Normals.1991-2020.zip")</f>
        <v>https://climate.onebuilding.org/WMO_Region_4_North_and_Central_America/USA_United_States_of_America/TX_Texas/USA_TX_El.Paso.Intl.AP.722700_US.Normals.1991-2020.zip</v>
      </c>
    </row>
    <row r="1690" spans="1:10" x14ac:dyDescent="0.25">
      <c r="A1690" t="s">
        <v>35</v>
      </c>
      <c r="B1690" t="s">
        <v>1023</v>
      </c>
      <c r="C1690" t="s">
        <v>1050</v>
      </c>
      <c r="D1690" s="2">
        <v>722700</v>
      </c>
      <c r="E1690" t="s">
        <v>13</v>
      </c>
      <c r="F1690">
        <v>31.8111</v>
      </c>
      <c r="G1690">
        <v>-106.3758</v>
      </c>
      <c r="H1690">
        <v>-7</v>
      </c>
      <c r="I1690">
        <v>1194.2</v>
      </c>
      <c r="J1690" t="str">
        <f>HYPERLINK("https://climate.onebuilding.org/WMO_Region_4_North_and_Central_America/USA_United_States_of_America/TX_Texas/USA_TX_El.Paso.Intl.AP.722700_US.Normals.2006-2020.zip")</f>
        <v>https://climate.onebuilding.org/WMO_Region_4_North_and_Central_America/USA_United_States_of_America/TX_Texas/USA_TX_El.Paso.Intl.AP.722700_US.Normals.2006-2020.zip</v>
      </c>
    </row>
    <row r="1691" spans="1:10" x14ac:dyDescent="0.25">
      <c r="A1691" t="s">
        <v>35</v>
      </c>
      <c r="B1691" t="s">
        <v>1023</v>
      </c>
      <c r="C1691" t="s">
        <v>1051</v>
      </c>
      <c r="D1691" s="2">
        <v>747440</v>
      </c>
      <c r="E1691" t="s">
        <v>13</v>
      </c>
      <c r="F1691">
        <v>30.622199999999999</v>
      </c>
      <c r="G1691">
        <v>-98.084699999999998</v>
      </c>
      <c r="H1691">
        <v>-7</v>
      </c>
      <c r="I1691">
        <v>414.8</v>
      </c>
      <c r="J1691" t="str">
        <f>HYPERLINK("https://climate.onebuilding.org/WMO_Region_4_North_and_Central_America/USA_United_States_of_America/TX_Texas/USA_TX_Flying.X.Ranch.AP.747440_US.Normals.2006-2020.zip")</f>
        <v>https://climate.onebuilding.org/WMO_Region_4_North_and_Central_America/USA_United_States_of_America/TX_Texas/USA_TX_Flying.X.Ranch.AP.747440_US.Normals.2006-2020.zip</v>
      </c>
    </row>
    <row r="1692" spans="1:10" x14ac:dyDescent="0.25">
      <c r="A1692" t="s">
        <v>35</v>
      </c>
      <c r="B1692" t="s">
        <v>1023</v>
      </c>
      <c r="C1692" t="s">
        <v>1052</v>
      </c>
      <c r="D1692" s="2">
        <v>722618</v>
      </c>
      <c r="E1692" t="s">
        <v>13</v>
      </c>
      <c r="F1692">
        <v>30.911899999999999</v>
      </c>
      <c r="G1692">
        <v>-102.91670000000001</v>
      </c>
      <c r="H1692">
        <v>-7</v>
      </c>
      <c r="I1692">
        <v>917.4</v>
      </c>
      <c r="J1692" t="str">
        <f>HYPERLINK("https://climate.onebuilding.org/WMO_Region_4_North_and_Central_America/USA_United_States_of_America/TX_Texas/USA_TX_Fort.Stockton.Pecos.County.AP.722618_US.Normals.2006-2020.zip")</f>
        <v>https://climate.onebuilding.org/WMO_Region_4_North_and_Central_America/USA_United_States_of_America/TX_Texas/USA_TX_Fort.Stockton.Pecos.County.AP.722618_US.Normals.2006-2020.zip</v>
      </c>
    </row>
    <row r="1693" spans="1:10" x14ac:dyDescent="0.25">
      <c r="A1693" t="s">
        <v>35</v>
      </c>
      <c r="B1693" t="s">
        <v>1023</v>
      </c>
      <c r="C1693" t="s">
        <v>1053</v>
      </c>
      <c r="D1693" s="2">
        <v>722595</v>
      </c>
      <c r="E1693" t="s">
        <v>13</v>
      </c>
      <c r="F1693">
        <v>32.7667</v>
      </c>
      <c r="G1693">
        <v>-97.45</v>
      </c>
      <c r="H1693">
        <v>-6</v>
      </c>
      <c r="I1693">
        <v>185.3</v>
      </c>
      <c r="J1693" t="str">
        <f>HYPERLINK("https://climate.onebuilding.org/WMO_Region_4_North_and_Central_America/USA_United_States_of_America/TX_Texas/USA_TX_Fort.Worth-NAS.JRB.Fort.Worth-Carswell.Field.722595_US.Normals.2006-2020.zip")</f>
        <v>https://climate.onebuilding.org/WMO_Region_4_North_and_Central_America/USA_United_States_of_America/TX_Texas/USA_TX_Fort.Worth-NAS.JRB.Fort.Worth-Carswell.Field.722595_US.Normals.2006-2020.zip</v>
      </c>
    </row>
    <row r="1694" spans="1:10" x14ac:dyDescent="0.25">
      <c r="A1694" t="s">
        <v>35</v>
      </c>
      <c r="B1694" t="s">
        <v>1023</v>
      </c>
      <c r="C1694" t="s">
        <v>1054</v>
      </c>
      <c r="D1694" s="2">
        <v>722594</v>
      </c>
      <c r="E1694" t="s">
        <v>13</v>
      </c>
      <c r="F1694">
        <v>32.973300000000002</v>
      </c>
      <c r="G1694">
        <v>-97.318100000000001</v>
      </c>
      <c r="H1694">
        <v>-6</v>
      </c>
      <c r="I1694">
        <v>208.8</v>
      </c>
      <c r="J1694" t="str">
        <f>HYPERLINK("https://climate.onebuilding.org/WMO_Region_4_North_and_Central_America/USA_United_States_of_America/TX_Texas/USA_TX_Fort.Worth.Alliance.AP.722594_US.Normals.1991-2020.zip")</f>
        <v>https://climate.onebuilding.org/WMO_Region_4_North_and_Central_America/USA_United_States_of_America/TX_Texas/USA_TX_Fort.Worth.Alliance.AP.722594_US.Normals.1991-2020.zip</v>
      </c>
    </row>
    <row r="1695" spans="1:10" x14ac:dyDescent="0.25">
      <c r="A1695" t="s">
        <v>35</v>
      </c>
      <c r="B1695" t="s">
        <v>1023</v>
      </c>
      <c r="C1695" t="s">
        <v>1054</v>
      </c>
      <c r="D1695" s="2">
        <v>722594</v>
      </c>
      <c r="E1695" t="s">
        <v>13</v>
      </c>
      <c r="F1695">
        <v>32.973300000000002</v>
      </c>
      <c r="G1695">
        <v>-97.318100000000001</v>
      </c>
      <c r="H1695">
        <v>-6</v>
      </c>
      <c r="I1695">
        <v>208.8</v>
      </c>
      <c r="J1695" t="str">
        <f>HYPERLINK("https://climate.onebuilding.org/WMO_Region_4_North_and_Central_America/USA_United_States_of_America/TX_Texas/USA_TX_Fort.Worth.Alliance.AP.722594_US.Normals.2006-2020.zip")</f>
        <v>https://climate.onebuilding.org/WMO_Region_4_North_and_Central_America/USA_United_States_of_America/TX_Texas/USA_TX_Fort.Worth.Alliance.AP.722594_US.Normals.2006-2020.zip</v>
      </c>
    </row>
    <row r="1696" spans="1:10" x14ac:dyDescent="0.25">
      <c r="A1696" t="s">
        <v>35</v>
      </c>
      <c r="B1696" t="s">
        <v>1023</v>
      </c>
      <c r="C1696" t="s">
        <v>1055</v>
      </c>
      <c r="D1696" s="2">
        <v>747390</v>
      </c>
      <c r="E1696" t="s">
        <v>13</v>
      </c>
      <c r="F1696">
        <v>32.819200000000002</v>
      </c>
      <c r="G1696">
        <v>-97.361400000000003</v>
      </c>
      <c r="H1696">
        <v>-6</v>
      </c>
      <c r="I1696">
        <v>209.4</v>
      </c>
      <c r="J1696" t="str">
        <f>HYPERLINK("https://climate.onebuilding.org/WMO_Region_4_North_and_Central_America/USA_United_States_of_America/TX_Texas/USA_TX_Fort.Worth.Meacham.Intl.AP.747390_US.Normals.1981-2010.zip")</f>
        <v>https://climate.onebuilding.org/WMO_Region_4_North_and_Central_America/USA_United_States_of_America/TX_Texas/USA_TX_Fort.Worth.Meacham.Intl.AP.747390_US.Normals.1981-2010.zip</v>
      </c>
    </row>
    <row r="1697" spans="1:10" x14ac:dyDescent="0.25">
      <c r="A1697" t="s">
        <v>35</v>
      </c>
      <c r="B1697" t="s">
        <v>1023</v>
      </c>
      <c r="C1697" t="s">
        <v>1055</v>
      </c>
      <c r="D1697" s="2">
        <v>747390</v>
      </c>
      <c r="E1697" t="s">
        <v>13</v>
      </c>
      <c r="F1697">
        <v>32.819200000000002</v>
      </c>
      <c r="G1697">
        <v>-97.361400000000003</v>
      </c>
      <c r="H1697">
        <v>-6</v>
      </c>
      <c r="I1697">
        <v>209.4</v>
      </c>
      <c r="J1697" t="str">
        <f>HYPERLINK("https://climate.onebuilding.org/WMO_Region_4_North_and_Central_America/USA_United_States_of_America/TX_Texas/USA_TX_Fort.Worth.Meacham.Intl.AP.747390_US.Normals.2006-2020.zip")</f>
        <v>https://climate.onebuilding.org/WMO_Region_4_North_and_Central_America/USA_United_States_of_America/TX_Texas/USA_TX_Fort.Worth.Meacham.Intl.AP.747390_US.Normals.2006-2020.zip</v>
      </c>
    </row>
    <row r="1698" spans="1:10" x14ac:dyDescent="0.25">
      <c r="A1698" t="s">
        <v>35</v>
      </c>
      <c r="B1698" t="s">
        <v>1023</v>
      </c>
      <c r="C1698" t="s">
        <v>1056</v>
      </c>
      <c r="D1698" s="2">
        <v>722420</v>
      </c>
      <c r="E1698" t="s">
        <v>13</v>
      </c>
      <c r="F1698">
        <v>29.273299999999999</v>
      </c>
      <c r="G1698">
        <v>-94.859200000000001</v>
      </c>
      <c r="H1698">
        <v>-6</v>
      </c>
      <c r="I1698">
        <v>1.5</v>
      </c>
      <c r="J1698" t="str">
        <f>HYPERLINK("https://climate.onebuilding.org/WMO_Region_4_North_and_Central_America/USA_United_States_of_America/TX_Texas/USA_TX_Galveston.Scholes.Intl.AP.722420_US.Normals.2006-2020.zip")</f>
        <v>https://climate.onebuilding.org/WMO_Region_4_North_and_Central_America/USA_United_States_of_America/TX_Texas/USA_TX_Galveston.Scholes.Intl.AP.722420_US.Normals.2006-2020.zip</v>
      </c>
    </row>
    <row r="1699" spans="1:10" x14ac:dyDescent="0.25">
      <c r="A1699" t="s">
        <v>35</v>
      </c>
      <c r="B1699" t="s">
        <v>1023</v>
      </c>
      <c r="C1699" t="s">
        <v>1057</v>
      </c>
      <c r="D1699" s="2">
        <v>722505</v>
      </c>
      <c r="E1699" t="s">
        <v>13</v>
      </c>
      <c r="F1699">
        <v>26.228100000000001</v>
      </c>
      <c r="G1699">
        <v>-97.654200000000003</v>
      </c>
      <c r="H1699">
        <v>-7</v>
      </c>
      <c r="I1699">
        <v>10.4</v>
      </c>
      <c r="J1699" t="str">
        <f>HYPERLINK("https://climate.onebuilding.org/WMO_Region_4_North_and_Central_America/USA_United_States_of_America/TX_Texas/USA_TX_Harlingen-Valley.Intl.AP.722505_US.Normals.2006-2020.zip")</f>
        <v>https://climate.onebuilding.org/WMO_Region_4_North_and_Central_America/USA_United_States_of_America/TX_Texas/USA_TX_Harlingen-Valley.Intl.AP.722505_US.Normals.2006-2020.zip</v>
      </c>
    </row>
    <row r="1700" spans="1:10" x14ac:dyDescent="0.25">
      <c r="A1700" t="s">
        <v>35</v>
      </c>
      <c r="B1700" t="s">
        <v>1023</v>
      </c>
      <c r="C1700" t="s">
        <v>1058</v>
      </c>
      <c r="D1700" s="2">
        <v>722533</v>
      </c>
      <c r="E1700" t="s">
        <v>13</v>
      </c>
      <c r="F1700">
        <v>29.36</v>
      </c>
      <c r="G1700">
        <v>-99.174199999999999</v>
      </c>
      <c r="H1700">
        <v>-7</v>
      </c>
      <c r="I1700">
        <v>280.39999999999998</v>
      </c>
      <c r="J1700" t="str">
        <f>HYPERLINK("https://climate.onebuilding.org/WMO_Region_4_North_and_Central_America/USA_United_States_of_America/TX_Texas/USA_TX_Hondo-South.Texas.Rgnl.AP.722533_US.Normals.1991-2020.zip")</f>
        <v>https://climate.onebuilding.org/WMO_Region_4_North_and_Central_America/USA_United_States_of_America/TX_Texas/USA_TX_Hondo-South.Texas.Rgnl.AP.722533_US.Normals.1991-2020.zip</v>
      </c>
    </row>
    <row r="1701" spans="1:10" x14ac:dyDescent="0.25">
      <c r="A1701" t="s">
        <v>35</v>
      </c>
      <c r="B1701" t="s">
        <v>1023</v>
      </c>
      <c r="C1701" t="s">
        <v>1058</v>
      </c>
      <c r="D1701" s="2">
        <v>722533</v>
      </c>
      <c r="E1701" t="s">
        <v>13</v>
      </c>
      <c r="F1701">
        <v>29.36</v>
      </c>
      <c r="G1701">
        <v>-99.174199999999999</v>
      </c>
      <c r="H1701">
        <v>-7</v>
      </c>
      <c r="I1701">
        <v>280.39999999999998</v>
      </c>
      <c r="J1701" t="str">
        <f>HYPERLINK("https://climate.onebuilding.org/WMO_Region_4_North_and_Central_America/USA_United_States_of_America/TX_Texas/USA_TX_Hondo-South.Texas.Rgnl.AP.722533_US.Normals.2006-2020.zip")</f>
        <v>https://climate.onebuilding.org/WMO_Region_4_North_and_Central_America/USA_United_States_of_America/TX_Texas/USA_TX_Hondo-South.Texas.Rgnl.AP.722533_US.Normals.2006-2020.zip</v>
      </c>
    </row>
    <row r="1702" spans="1:10" x14ac:dyDescent="0.25">
      <c r="A1702" t="s">
        <v>35</v>
      </c>
      <c r="B1702" t="s">
        <v>1023</v>
      </c>
      <c r="C1702" t="s">
        <v>1059</v>
      </c>
      <c r="D1702" s="2">
        <v>722430</v>
      </c>
      <c r="E1702" t="s">
        <v>13</v>
      </c>
      <c r="F1702">
        <v>29.98</v>
      </c>
      <c r="G1702">
        <v>-95.36</v>
      </c>
      <c r="H1702">
        <v>-6</v>
      </c>
      <c r="I1702">
        <v>29</v>
      </c>
      <c r="J1702" t="str">
        <f>HYPERLINK("https://climate.onebuilding.org/WMO_Region_4_North_and_Central_America/USA_United_States_of_America/TX_Texas/USA_TX_Houston-Bush.Intercontinental.AP.722430_US.Normals.1981-2010.zip")</f>
        <v>https://climate.onebuilding.org/WMO_Region_4_North_and_Central_America/USA_United_States_of_America/TX_Texas/USA_TX_Houston-Bush.Intercontinental.AP.722430_US.Normals.1981-2010.zip</v>
      </c>
    </row>
    <row r="1703" spans="1:10" x14ac:dyDescent="0.25">
      <c r="A1703" t="s">
        <v>35</v>
      </c>
      <c r="B1703" t="s">
        <v>1023</v>
      </c>
      <c r="C1703" t="s">
        <v>1059</v>
      </c>
      <c r="D1703" s="2">
        <v>722430</v>
      </c>
      <c r="E1703" t="s">
        <v>13</v>
      </c>
      <c r="F1703">
        <v>29.98</v>
      </c>
      <c r="G1703">
        <v>-95.36</v>
      </c>
      <c r="H1703">
        <v>-6</v>
      </c>
      <c r="I1703">
        <v>29</v>
      </c>
      <c r="J1703" t="str">
        <f>HYPERLINK("https://climate.onebuilding.org/WMO_Region_4_North_and_Central_America/USA_United_States_of_America/TX_Texas/USA_TX_Houston-Bush.Intercontinental.AP.722430_US.Normals.1991-2020.zip")</f>
        <v>https://climate.onebuilding.org/WMO_Region_4_North_and_Central_America/USA_United_States_of_America/TX_Texas/USA_TX_Houston-Bush.Intercontinental.AP.722430_US.Normals.1991-2020.zip</v>
      </c>
    </row>
    <row r="1704" spans="1:10" x14ac:dyDescent="0.25">
      <c r="A1704" t="s">
        <v>35</v>
      </c>
      <c r="B1704" t="s">
        <v>1023</v>
      </c>
      <c r="C1704" t="s">
        <v>1059</v>
      </c>
      <c r="D1704" s="2">
        <v>722430</v>
      </c>
      <c r="E1704" t="s">
        <v>13</v>
      </c>
      <c r="F1704">
        <v>29.98</v>
      </c>
      <c r="G1704">
        <v>-95.36</v>
      </c>
      <c r="H1704">
        <v>-6</v>
      </c>
      <c r="I1704">
        <v>29</v>
      </c>
      <c r="J1704" t="str">
        <f>HYPERLINK("https://climate.onebuilding.org/WMO_Region_4_North_and_Central_America/USA_United_States_of_America/TX_Texas/USA_TX_Houston-Bush.Intercontinental.AP.722430_US.Normals.2006-2020.zip")</f>
        <v>https://climate.onebuilding.org/WMO_Region_4_North_and_Central_America/USA_United_States_of_America/TX_Texas/USA_TX_Houston-Bush.Intercontinental.AP.722430_US.Normals.2006-2020.zip</v>
      </c>
    </row>
    <row r="1705" spans="1:10" x14ac:dyDescent="0.25">
      <c r="A1705" t="s">
        <v>35</v>
      </c>
      <c r="B1705" t="s">
        <v>1023</v>
      </c>
      <c r="C1705" t="s">
        <v>1060</v>
      </c>
      <c r="D1705" s="2">
        <v>722440</v>
      </c>
      <c r="E1705" t="s">
        <v>13</v>
      </c>
      <c r="F1705">
        <v>29.638100000000001</v>
      </c>
      <c r="G1705">
        <v>-95.281899999999993</v>
      </c>
      <c r="H1705">
        <v>-6</v>
      </c>
      <c r="I1705">
        <v>13.4</v>
      </c>
      <c r="J1705" t="str">
        <f>HYPERLINK("https://climate.onebuilding.org/WMO_Region_4_North_and_Central_America/USA_United_States_of_America/TX_Texas/USA_TX_Houston-Hobby.AP.722440_US.Normals.1981-2010.zip")</f>
        <v>https://climate.onebuilding.org/WMO_Region_4_North_and_Central_America/USA_United_States_of_America/TX_Texas/USA_TX_Houston-Hobby.AP.722440_US.Normals.1981-2010.zip</v>
      </c>
    </row>
    <row r="1706" spans="1:10" x14ac:dyDescent="0.25">
      <c r="A1706" t="s">
        <v>35</v>
      </c>
      <c r="B1706" t="s">
        <v>1023</v>
      </c>
      <c r="C1706" t="s">
        <v>1060</v>
      </c>
      <c r="D1706" s="2">
        <v>722440</v>
      </c>
      <c r="E1706" t="s">
        <v>13</v>
      </c>
      <c r="F1706">
        <v>29.638100000000001</v>
      </c>
      <c r="G1706">
        <v>-95.281899999999993</v>
      </c>
      <c r="H1706">
        <v>-6</v>
      </c>
      <c r="I1706">
        <v>13.4</v>
      </c>
      <c r="J1706" t="str">
        <f>HYPERLINK("https://climate.onebuilding.org/WMO_Region_4_North_and_Central_America/USA_United_States_of_America/TX_Texas/USA_TX_Houston-Hobby.AP.722440_US.Normals.2006-2020.zip")</f>
        <v>https://climate.onebuilding.org/WMO_Region_4_North_and_Central_America/USA_United_States_of_America/TX_Texas/USA_TX_Houston-Hobby.AP.722440_US.Normals.2006-2020.zip</v>
      </c>
    </row>
    <row r="1707" spans="1:10" x14ac:dyDescent="0.25">
      <c r="A1707" t="s">
        <v>35</v>
      </c>
      <c r="B1707" t="s">
        <v>1023</v>
      </c>
      <c r="C1707" t="s">
        <v>1061</v>
      </c>
      <c r="D1707" s="2">
        <v>722429</v>
      </c>
      <c r="E1707" t="s">
        <v>13</v>
      </c>
      <c r="F1707">
        <v>30.067499999999999</v>
      </c>
      <c r="G1707">
        <v>-95.556100000000001</v>
      </c>
      <c r="H1707">
        <v>-6</v>
      </c>
      <c r="I1707">
        <v>46.3</v>
      </c>
      <c r="J1707" t="str">
        <f>HYPERLINK("https://climate.onebuilding.org/WMO_Region_4_North_and_Central_America/USA_United_States_of_America/TX_Texas/USA_TX_Houston-Hooks.Meml.AP.722429_US.Normals.2006-2020.zip")</f>
        <v>https://climate.onebuilding.org/WMO_Region_4_North_and_Central_America/USA_United_States_of_America/TX_Texas/USA_TX_Houston-Hooks.Meml.AP.722429_US.Normals.2006-2020.zip</v>
      </c>
    </row>
    <row r="1708" spans="1:10" x14ac:dyDescent="0.25">
      <c r="A1708" t="s">
        <v>35</v>
      </c>
      <c r="B1708" t="s">
        <v>1023</v>
      </c>
      <c r="C1708" t="s">
        <v>1062</v>
      </c>
      <c r="D1708" s="2">
        <v>722447</v>
      </c>
      <c r="E1708" t="s">
        <v>13</v>
      </c>
      <c r="F1708">
        <v>30.7439</v>
      </c>
      <c r="G1708">
        <v>-95.586100000000002</v>
      </c>
      <c r="H1708">
        <v>-6</v>
      </c>
      <c r="I1708">
        <v>111.6</v>
      </c>
      <c r="J1708" t="str">
        <f>HYPERLINK("https://climate.onebuilding.org/WMO_Region_4_North_and_Central_America/USA_United_States_of_America/TX_Texas/USA_TX_Huntsville.Muni.AP.722447_US.Normals.2006-2020.zip")</f>
        <v>https://climate.onebuilding.org/WMO_Region_4_North_and_Central_America/USA_United_States_of_America/TX_Texas/USA_TX_Huntsville.Muni.AP.722447_US.Normals.2006-2020.zip</v>
      </c>
    </row>
    <row r="1709" spans="1:10" x14ac:dyDescent="0.25">
      <c r="A1709" t="s">
        <v>35</v>
      </c>
      <c r="B1709" t="s">
        <v>1023</v>
      </c>
      <c r="C1709" t="s">
        <v>1063</v>
      </c>
      <c r="D1709" s="2">
        <v>747400</v>
      </c>
      <c r="E1709" t="s">
        <v>13</v>
      </c>
      <c r="F1709">
        <v>30.5108</v>
      </c>
      <c r="G1709">
        <v>-99.766400000000004</v>
      </c>
      <c r="H1709">
        <v>-7</v>
      </c>
      <c r="I1709">
        <v>533.1</v>
      </c>
      <c r="J1709" t="str">
        <f>HYPERLINK("https://climate.onebuilding.org/WMO_Region_4_North_and_Central_America/USA_United_States_of_America/TX_Texas/USA_TX_Junction-Kimble.County.AP.747400_US.Normals.1991-2020.zip")</f>
        <v>https://climate.onebuilding.org/WMO_Region_4_North_and_Central_America/USA_United_States_of_America/TX_Texas/USA_TX_Junction-Kimble.County.AP.747400_US.Normals.1991-2020.zip</v>
      </c>
    </row>
    <row r="1710" spans="1:10" x14ac:dyDescent="0.25">
      <c r="A1710" t="s">
        <v>35</v>
      </c>
      <c r="B1710" t="s">
        <v>1023</v>
      </c>
      <c r="C1710" t="s">
        <v>1063</v>
      </c>
      <c r="D1710" s="2">
        <v>747400</v>
      </c>
      <c r="E1710" t="s">
        <v>13</v>
      </c>
      <c r="F1710">
        <v>30.5108</v>
      </c>
      <c r="G1710">
        <v>-99.766400000000004</v>
      </c>
      <c r="H1710">
        <v>-7</v>
      </c>
      <c r="I1710">
        <v>533.1</v>
      </c>
      <c r="J1710" t="str">
        <f>HYPERLINK("https://climate.onebuilding.org/WMO_Region_4_North_and_Central_America/USA_United_States_of_America/TX_Texas/USA_TX_Junction-Kimble.County.AP.747400_US.Normals.2006-2020.zip")</f>
        <v>https://climate.onebuilding.org/WMO_Region_4_North_and_Central_America/USA_United_States_of_America/TX_Texas/USA_TX_Junction-Kimble.County.AP.747400_US.Normals.2006-2020.zip</v>
      </c>
    </row>
    <row r="1711" spans="1:10" x14ac:dyDescent="0.25">
      <c r="A1711" t="s">
        <v>35</v>
      </c>
      <c r="B1711" t="s">
        <v>1023</v>
      </c>
      <c r="C1711" t="s">
        <v>1064</v>
      </c>
      <c r="D1711" s="2">
        <v>722570</v>
      </c>
      <c r="E1711" t="s">
        <v>13</v>
      </c>
      <c r="F1711">
        <v>31.133299999999998</v>
      </c>
      <c r="G1711">
        <v>-97.716700000000003</v>
      </c>
      <c r="H1711">
        <v>-7</v>
      </c>
      <c r="I1711">
        <v>281.60000000000002</v>
      </c>
      <c r="J1711" t="str">
        <f>HYPERLINK("https://climate.onebuilding.org/WMO_Region_4_North_and_Central_America/USA_United_States_of_America/TX_Texas/USA_TX_Killeen-Fort.Hood-Hood.AAF.722570_US.Normals.2006-2020.zip")</f>
        <v>https://climate.onebuilding.org/WMO_Region_4_North_and_Central_America/USA_United_States_of_America/TX_Texas/USA_TX_Killeen-Fort.Hood-Hood.AAF.722570_US.Normals.2006-2020.zip</v>
      </c>
    </row>
    <row r="1712" spans="1:10" x14ac:dyDescent="0.25">
      <c r="A1712" t="s">
        <v>35</v>
      </c>
      <c r="B1712" t="s">
        <v>1023</v>
      </c>
      <c r="C1712" t="s">
        <v>1065</v>
      </c>
      <c r="D1712" s="2">
        <v>722576</v>
      </c>
      <c r="E1712" t="s">
        <v>13</v>
      </c>
      <c r="F1712">
        <v>31.066700000000001</v>
      </c>
      <c r="G1712">
        <v>-97.833299999999994</v>
      </c>
      <c r="H1712">
        <v>-7</v>
      </c>
      <c r="I1712">
        <v>309.39999999999998</v>
      </c>
      <c r="J1712" t="str">
        <f>HYPERLINK("https://climate.onebuilding.org/WMO_Region_4_North_and_Central_America/USA_United_States_of_America/TX_Texas/USA_TX_Killeen-Fort.Hood.Rgnl.AP-Gray.AAF.722576_US.Normals.1981-2010.zip")</f>
        <v>https://climate.onebuilding.org/WMO_Region_4_North_and_Central_America/USA_United_States_of_America/TX_Texas/USA_TX_Killeen-Fort.Hood.Rgnl.AP-Gray.AAF.722576_US.Normals.1981-2010.zip</v>
      </c>
    </row>
    <row r="1713" spans="1:10" x14ac:dyDescent="0.25">
      <c r="A1713" t="s">
        <v>35</v>
      </c>
      <c r="B1713" t="s">
        <v>1023</v>
      </c>
      <c r="C1713" t="s">
        <v>1065</v>
      </c>
      <c r="D1713" s="2">
        <v>722576</v>
      </c>
      <c r="E1713" t="s">
        <v>13</v>
      </c>
      <c r="F1713">
        <v>31.066700000000001</v>
      </c>
      <c r="G1713">
        <v>-97.833299999999994</v>
      </c>
      <c r="H1713">
        <v>-7</v>
      </c>
      <c r="I1713">
        <v>309.39999999999998</v>
      </c>
      <c r="J1713" t="str">
        <f>HYPERLINK("https://climate.onebuilding.org/WMO_Region_4_North_and_Central_America/USA_United_States_of_America/TX_Texas/USA_TX_Killeen-Fort.Hood.Rgnl.AP-Gray.AAF.722576_US.Normals.1991-2020.zip")</f>
        <v>https://climate.onebuilding.org/WMO_Region_4_North_and_Central_America/USA_United_States_of_America/TX_Texas/USA_TX_Killeen-Fort.Hood.Rgnl.AP-Gray.AAF.722576_US.Normals.1991-2020.zip</v>
      </c>
    </row>
    <row r="1714" spans="1:10" x14ac:dyDescent="0.25">
      <c r="A1714" t="s">
        <v>35</v>
      </c>
      <c r="B1714" t="s">
        <v>1023</v>
      </c>
      <c r="C1714" t="s">
        <v>1065</v>
      </c>
      <c r="D1714" s="2">
        <v>722576</v>
      </c>
      <c r="E1714" t="s">
        <v>13</v>
      </c>
      <c r="F1714">
        <v>31.066700000000001</v>
      </c>
      <c r="G1714">
        <v>-97.833299999999994</v>
      </c>
      <c r="H1714">
        <v>-7</v>
      </c>
      <c r="I1714">
        <v>309.39999999999998</v>
      </c>
      <c r="J1714" t="str">
        <f>HYPERLINK("https://climate.onebuilding.org/WMO_Region_4_North_and_Central_America/USA_United_States_of_America/TX_Texas/USA_TX_Killeen-Fort.Hood.Rgnl.AP-Gray.AAF.722576_US.Normals.2006-2020.zip")</f>
        <v>https://climate.onebuilding.org/WMO_Region_4_North_and_Central_America/USA_United_States_of_America/TX_Texas/USA_TX_Killeen-Fort.Hood.Rgnl.AP-Gray.AAF.722576_US.Normals.2006-2020.zip</v>
      </c>
    </row>
    <row r="1715" spans="1:10" x14ac:dyDescent="0.25">
      <c r="A1715" t="s">
        <v>35</v>
      </c>
      <c r="B1715" t="s">
        <v>1023</v>
      </c>
      <c r="C1715" t="s">
        <v>1066</v>
      </c>
      <c r="D1715" s="2">
        <v>722520</v>
      </c>
      <c r="E1715" t="s">
        <v>13</v>
      </c>
      <c r="F1715">
        <v>27.533300000000001</v>
      </c>
      <c r="G1715">
        <v>-99.466700000000003</v>
      </c>
      <c r="H1715">
        <v>-7</v>
      </c>
      <c r="I1715">
        <v>153.9</v>
      </c>
      <c r="J1715" t="str">
        <f>HYPERLINK("https://climate.onebuilding.org/WMO_Region_4_North_and_Central_America/USA_United_States_of_America/TX_Texas/USA_TX_Laredo.Intl.AP.722520_US.Normals.2006-2020.zip")</f>
        <v>https://climate.onebuilding.org/WMO_Region_4_North_and_Central_America/USA_United_States_of_America/TX_Texas/USA_TX_Laredo.Intl.AP.722520_US.Normals.2006-2020.zip</v>
      </c>
    </row>
    <row r="1716" spans="1:10" x14ac:dyDescent="0.25">
      <c r="A1716" t="s">
        <v>35</v>
      </c>
      <c r="B1716" t="s">
        <v>1023</v>
      </c>
      <c r="C1716" t="s">
        <v>1067</v>
      </c>
      <c r="D1716" s="2">
        <v>722470</v>
      </c>
      <c r="E1716" t="s">
        <v>13</v>
      </c>
      <c r="F1716">
        <v>32.384700000000002</v>
      </c>
      <c r="G1716">
        <v>-94.711699999999993</v>
      </c>
      <c r="H1716">
        <v>-6</v>
      </c>
      <c r="I1716">
        <v>111.3</v>
      </c>
      <c r="J1716" t="str">
        <f>HYPERLINK("https://climate.onebuilding.org/WMO_Region_4_North_and_Central_America/USA_United_States_of_America/TX_Texas/USA_TX_Longview-East.Texas.Rgnl.AP.722470_US.Normals.2006-2020.zip")</f>
        <v>https://climate.onebuilding.org/WMO_Region_4_North_and_Central_America/USA_United_States_of_America/TX_Texas/USA_TX_Longview-East.Texas.Rgnl.AP.722470_US.Normals.2006-2020.zip</v>
      </c>
    </row>
    <row r="1717" spans="1:10" x14ac:dyDescent="0.25">
      <c r="A1717" t="s">
        <v>35</v>
      </c>
      <c r="B1717" t="s">
        <v>1023</v>
      </c>
      <c r="C1717" t="s">
        <v>1068</v>
      </c>
      <c r="D1717" s="2">
        <v>752550</v>
      </c>
      <c r="E1717" t="s">
        <v>13</v>
      </c>
      <c r="F1717">
        <v>26.5258</v>
      </c>
      <c r="G1717">
        <v>-98.063299999999998</v>
      </c>
      <c r="H1717">
        <v>-7</v>
      </c>
      <c r="I1717">
        <v>19.5</v>
      </c>
      <c r="J1717" t="str">
        <f>HYPERLINK("https://climate.onebuilding.org/WMO_Region_4_North_and_Central_America/USA_United_States_of_America/TX_Texas/USA_TX_Lower.Rio.Grande.Valley.Natl.Wildlife.Refuge.752550_US.Normals.2006-2020.zip")</f>
        <v>https://climate.onebuilding.org/WMO_Region_4_North_and_Central_America/USA_United_States_of_America/TX_Texas/USA_TX_Lower.Rio.Grande.Valley.Natl.Wildlife.Refuge.752550_US.Normals.2006-2020.zip</v>
      </c>
    </row>
    <row r="1718" spans="1:10" x14ac:dyDescent="0.25">
      <c r="A1718" t="s">
        <v>35</v>
      </c>
      <c r="B1718" t="s">
        <v>1023</v>
      </c>
      <c r="C1718" t="s">
        <v>1069</v>
      </c>
      <c r="D1718" s="2">
        <v>722670</v>
      </c>
      <c r="E1718" t="s">
        <v>13</v>
      </c>
      <c r="F1718">
        <v>33.654200000000003</v>
      </c>
      <c r="G1718">
        <v>-101.81359999999999</v>
      </c>
      <c r="H1718">
        <v>-7</v>
      </c>
      <c r="I1718">
        <v>993.3</v>
      </c>
      <c r="J1718" t="str">
        <f>HYPERLINK("https://climate.onebuilding.org/WMO_Region_4_North_and_Central_America/USA_United_States_of_America/TX_Texas/USA_TX_Lubbock.Smith.Intl.AP.722670_US.Normals.1981-2010.zip")</f>
        <v>https://climate.onebuilding.org/WMO_Region_4_North_and_Central_America/USA_United_States_of_America/TX_Texas/USA_TX_Lubbock.Smith.Intl.AP.722670_US.Normals.1981-2010.zip</v>
      </c>
    </row>
    <row r="1719" spans="1:10" x14ac:dyDescent="0.25">
      <c r="A1719" t="s">
        <v>35</v>
      </c>
      <c r="B1719" t="s">
        <v>1023</v>
      </c>
      <c r="C1719" t="s">
        <v>1069</v>
      </c>
      <c r="D1719" s="2">
        <v>722670</v>
      </c>
      <c r="E1719" t="s">
        <v>13</v>
      </c>
      <c r="F1719">
        <v>33.654200000000003</v>
      </c>
      <c r="G1719">
        <v>-101.81359999999999</v>
      </c>
      <c r="H1719">
        <v>-7</v>
      </c>
      <c r="I1719">
        <v>993.3</v>
      </c>
      <c r="J1719" t="str">
        <f>HYPERLINK("https://climate.onebuilding.org/WMO_Region_4_North_and_Central_America/USA_United_States_of_America/TX_Texas/USA_TX_Lubbock.Smith.Intl.AP.722670_US.Normals.1991-2020.zip")</f>
        <v>https://climate.onebuilding.org/WMO_Region_4_North_and_Central_America/USA_United_States_of_America/TX_Texas/USA_TX_Lubbock.Smith.Intl.AP.722670_US.Normals.1991-2020.zip</v>
      </c>
    </row>
    <row r="1720" spans="1:10" x14ac:dyDescent="0.25">
      <c r="A1720" t="s">
        <v>35</v>
      </c>
      <c r="B1720" t="s">
        <v>1023</v>
      </c>
      <c r="C1720" t="s">
        <v>1069</v>
      </c>
      <c r="D1720" s="2">
        <v>722670</v>
      </c>
      <c r="E1720" t="s">
        <v>13</v>
      </c>
      <c r="F1720">
        <v>33.654200000000003</v>
      </c>
      <c r="G1720">
        <v>-101.81359999999999</v>
      </c>
      <c r="H1720">
        <v>-7</v>
      </c>
      <c r="I1720">
        <v>993.3</v>
      </c>
      <c r="J1720" t="str">
        <f>HYPERLINK("https://climate.onebuilding.org/WMO_Region_4_North_and_Central_America/USA_United_States_of_America/TX_Texas/USA_TX_Lubbock.Smith.Intl.AP.722670_US.Normals.2006-2020.zip")</f>
        <v>https://climate.onebuilding.org/WMO_Region_4_North_and_Central_America/USA_United_States_of_America/TX_Texas/USA_TX_Lubbock.Smith.Intl.AP.722670_US.Normals.2006-2020.zip</v>
      </c>
    </row>
    <row r="1721" spans="1:10" x14ac:dyDescent="0.25">
      <c r="A1721" t="s">
        <v>35</v>
      </c>
      <c r="B1721" t="s">
        <v>1023</v>
      </c>
      <c r="C1721" t="s">
        <v>1070</v>
      </c>
      <c r="D1721" s="2">
        <v>722446</v>
      </c>
      <c r="E1721" t="s">
        <v>13</v>
      </c>
      <c r="F1721">
        <v>31.2361</v>
      </c>
      <c r="G1721">
        <v>-94.754400000000004</v>
      </c>
      <c r="H1721">
        <v>-6</v>
      </c>
      <c r="I1721">
        <v>87.8</v>
      </c>
      <c r="J1721" t="str">
        <f>HYPERLINK("https://climate.onebuilding.org/WMO_Region_4_North_and_Central_America/USA_United_States_of_America/TX_Texas/USA_TX_Lufkin-Angelina.County.AP.722446_US.Normals.1981-2010.zip")</f>
        <v>https://climate.onebuilding.org/WMO_Region_4_North_and_Central_America/USA_United_States_of_America/TX_Texas/USA_TX_Lufkin-Angelina.County.AP.722446_US.Normals.1981-2010.zip</v>
      </c>
    </row>
    <row r="1722" spans="1:10" x14ac:dyDescent="0.25">
      <c r="A1722" t="s">
        <v>35</v>
      </c>
      <c r="B1722" t="s">
        <v>1023</v>
      </c>
      <c r="C1722" t="s">
        <v>1070</v>
      </c>
      <c r="D1722" s="2">
        <v>722446</v>
      </c>
      <c r="E1722" t="s">
        <v>13</v>
      </c>
      <c r="F1722">
        <v>31.2361</v>
      </c>
      <c r="G1722">
        <v>-94.754400000000004</v>
      </c>
      <c r="H1722">
        <v>-6</v>
      </c>
      <c r="I1722">
        <v>87.8</v>
      </c>
      <c r="J1722" t="str">
        <f>HYPERLINK("https://climate.onebuilding.org/WMO_Region_4_North_and_Central_America/USA_United_States_of_America/TX_Texas/USA_TX_Lufkin-Angelina.County.AP.722446_US.Normals.1991-2020.zip")</f>
        <v>https://climate.onebuilding.org/WMO_Region_4_North_and_Central_America/USA_United_States_of_America/TX_Texas/USA_TX_Lufkin-Angelina.County.AP.722446_US.Normals.1991-2020.zip</v>
      </c>
    </row>
    <row r="1723" spans="1:10" x14ac:dyDescent="0.25">
      <c r="A1723" t="s">
        <v>35</v>
      </c>
      <c r="B1723" t="s">
        <v>1023</v>
      </c>
      <c r="C1723" t="s">
        <v>1070</v>
      </c>
      <c r="D1723" s="2">
        <v>722446</v>
      </c>
      <c r="E1723" t="s">
        <v>13</v>
      </c>
      <c r="F1723">
        <v>31.2361</v>
      </c>
      <c r="G1723">
        <v>-94.754400000000004</v>
      </c>
      <c r="H1723">
        <v>-6</v>
      </c>
      <c r="I1723">
        <v>87.8</v>
      </c>
      <c r="J1723" t="str">
        <f>HYPERLINK("https://climate.onebuilding.org/WMO_Region_4_North_and_Central_America/USA_United_States_of_America/TX_Texas/USA_TX_Lufkin-Angelina.County.AP.722446_US.Normals.2006-2020.zip")</f>
        <v>https://climate.onebuilding.org/WMO_Region_4_North_and_Central_America/USA_United_States_of_America/TX_Texas/USA_TX_Lufkin-Angelina.County.AP.722446_US.Normals.2006-2020.zip</v>
      </c>
    </row>
    <row r="1724" spans="1:10" x14ac:dyDescent="0.25">
      <c r="A1724" t="s">
        <v>35</v>
      </c>
      <c r="B1724" t="s">
        <v>1023</v>
      </c>
      <c r="C1724" t="s">
        <v>1071</v>
      </c>
      <c r="D1724" s="2">
        <v>722506</v>
      </c>
      <c r="E1724" t="s">
        <v>13</v>
      </c>
      <c r="F1724">
        <v>26.183900000000001</v>
      </c>
      <c r="G1724">
        <v>-98.253900000000002</v>
      </c>
      <c r="H1724">
        <v>-7</v>
      </c>
      <c r="I1724">
        <v>30.5</v>
      </c>
      <c r="J1724" t="str">
        <f>HYPERLINK("https://climate.onebuilding.org/WMO_Region_4_North_and_Central_America/USA_United_States_of_America/TX_Texas/USA_TX_McAllen.Miller.Intl.AP.722506_US.Normals.1981-2010.zip")</f>
        <v>https://climate.onebuilding.org/WMO_Region_4_North_and_Central_America/USA_United_States_of_America/TX_Texas/USA_TX_McAllen.Miller.Intl.AP.722506_US.Normals.1981-2010.zip</v>
      </c>
    </row>
    <row r="1725" spans="1:10" x14ac:dyDescent="0.25">
      <c r="A1725" t="s">
        <v>35</v>
      </c>
      <c r="B1725" t="s">
        <v>1023</v>
      </c>
      <c r="C1725" t="s">
        <v>1071</v>
      </c>
      <c r="D1725" s="2">
        <v>722506</v>
      </c>
      <c r="E1725" t="s">
        <v>13</v>
      </c>
      <c r="F1725">
        <v>26.183900000000001</v>
      </c>
      <c r="G1725">
        <v>-98.253900000000002</v>
      </c>
      <c r="H1725">
        <v>-7</v>
      </c>
      <c r="I1725">
        <v>30.5</v>
      </c>
      <c r="J1725" t="str">
        <f>HYPERLINK("https://climate.onebuilding.org/WMO_Region_4_North_and_Central_America/USA_United_States_of_America/TX_Texas/USA_TX_McAllen.Miller.Intl.AP.722506_US.Normals.1991-2020.zip")</f>
        <v>https://climate.onebuilding.org/WMO_Region_4_North_and_Central_America/USA_United_States_of_America/TX_Texas/USA_TX_McAllen.Miller.Intl.AP.722506_US.Normals.1991-2020.zip</v>
      </c>
    </row>
    <row r="1726" spans="1:10" x14ac:dyDescent="0.25">
      <c r="A1726" t="s">
        <v>35</v>
      </c>
      <c r="B1726" t="s">
        <v>1023</v>
      </c>
      <c r="C1726" t="s">
        <v>1071</v>
      </c>
      <c r="D1726" s="2">
        <v>722506</v>
      </c>
      <c r="E1726" t="s">
        <v>13</v>
      </c>
      <c r="F1726">
        <v>26.183900000000001</v>
      </c>
      <c r="G1726">
        <v>-98.253900000000002</v>
      </c>
      <c r="H1726">
        <v>-7</v>
      </c>
      <c r="I1726">
        <v>30.5</v>
      </c>
      <c r="J1726" t="str">
        <f>HYPERLINK("https://climate.onebuilding.org/WMO_Region_4_North_and_Central_America/USA_United_States_of_America/TX_Texas/USA_TX_McAllen.Miller.Intl.AP.722506_US.Normals.2006-2020.zip")</f>
        <v>https://climate.onebuilding.org/WMO_Region_4_North_and_Central_America/USA_United_States_of_America/TX_Texas/USA_TX_McAllen.Miller.Intl.AP.722506_US.Normals.2006-2020.zip</v>
      </c>
    </row>
    <row r="1727" spans="1:10" x14ac:dyDescent="0.25">
      <c r="A1727" t="s">
        <v>35</v>
      </c>
      <c r="B1727" t="s">
        <v>1023</v>
      </c>
      <c r="C1727" t="s">
        <v>1072</v>
      </c>
      <c r="D1727" s="2">
        <v>722541</v>
      </c>
      <c r="E1727" t="s">
        <v>13</v>
      </c>
      <c r="F1727">
        <v>33.180300000000003</v>
      </c>
      <c r="G1727">
        <v>-96.590299999999999</v>
      </c>
      <c r="H1727">
        <v>-6</v>
      </c>
      <c r="I1727">
        <v>176.8</v>
      </c>
      <c r="J1727" t="str">
        <f>HYPERLINK("https://climate.onebuilding.org/WMO_Region_4_North_and_Central_America/USA_United_States_of_America/TX_Texas/USA_TX_McKinney.Natl.AP.722541_US.Normals.2006-2020.zip")</f>
        <v>https://climate.onebuilding.org/WMO_Region_4_North_and_Central_America/USA_United_States_of_America/TX_Texas/USA_TX_McKinney.Natl.AP.722541_US.Normals.2006-2020.zip</v>
      </c>
    </row>
    <row r="1728" spans="1:10" x14ac:dyDescent="0.25">
      <c r="A1728" t="s">
        <v>35</v>
      </c>
      <c r="B1728" t="s">
        <v>1023</v>
      </c>
      <c r="C1728" t="s">
        <v>1073</v>
      </c>
      <c r="D1728" s="2">
        <v>722650</v>
      </c>
      <c r="E1728" t="s">
        <v>13</v>
      </c>
      <c r="F1728">
        <v>31.943300000000001</v>
      </c>
      <c r="G1728">
        <v>-102.1889</v>
      </c>
      <c r="H1728">
        <v>-7</v>
      </c>
      <c r="I1728">
        <v>874.2</v>
      </c>
      <c r="J1728" t="str">
        <f>HYPERLINK("https://climate.onebuilding.org/WMO_Region_4_North_and_Central_America/USA_United_States_of_America/TX_Texas/USA_TX_Midland.Intl.Air.and.Space.Port.722650_US.Normals.1981-2010.zip")</f>
        <v>https://climate.onebuilding.org/WMO_Region_4_North_and_Central_America/USA_United_States_of_America/TX_Texas/USA_TX_Midland.Intl.Air.and.Space.Port.722650_US.Normals.1981-2010.zip</v>
      </c>
    </row>
    <row r="1729" spans="1:10" x14ac:dyDescent="0.25">
      <c r="A1729" t="s">
        <v>35</v>
      </c>
      <c r="B1729" t="s">
        <v>1023</v>
      </c>
      <c r="C1729" t="s">
        <v>1073</v>
      </c>
      <c r="D1729" s="2">
        <v>722650</v>
      </c>
      <c r="E1729" t="s">
        <v>13</v>
      </c>
      <c r="F1729">
        <v>31.943300000000001</v>
      </c>
      <c r="G1729">
        <v>-102.1889</v>
      </c>
      <c r="H1729">
        <v>-7</v>
      </c>
      <c r="I1729">
        <v>874.2</v>
      </c>
      <c r="J1729" t="str">
        <f>HYPERLINK("https://climate.onebuilding.org/WMO_Region_4_North_and_Central_America/USA_United_States_of_America/TX_Texas/USA_TX_Midland.Intl.Air.and.Space.Port.722650_US.Normals.1991-2020.zip")</f>
        <v>https://climate.onebuilding.org/WMO_Region_4_North_and_Central_America/USA_United_States_of_America/TX_Texas/USA_TX_Midland.Intl.Air.and.Space.Port.722650_US.Normals.1991-2020.zip</v>
      </c>
    </row>
    <row r="1730" spans="1:10" x14ac:dyDescent="0.25">
      <c r="A1730" t="s">
        <v>35</v>
      </c>
      <c r="B1730" t="s">
        <v>1023</v>
      </c>
      <c r="C1730" t="s">
        <v>1073</v>
      </c>
      <c r="D1730" s="2">
        <v>722650</v>
      </c>
      <c r="E1730" t="s">
        <v>13</v>
      </c>
      <c r="F1730">
        <v>31.943300000000001</v>
      </c>
      <c r="G1730">
        <v>-102.1889</v>
      </c>
      <c r="H1730">
        <v>-7</v>
      </c>
      <c r="I1730">
        <v>874.2</v>
      </c>
      <c r="J1730" t="str">
        <f>HYPERLINK("https://climate.onebuilding.org/WMO_Region_4_North_and_Central_America/USA_United_States_of_America/TX_Texas/USA_TX_Midland.Intl.Air.and.Space.Port.722650_US.Normals.2006-2020.zip")</f>
        <v>https://climate.onebuilding.org/WMO_Region_4_North_and_Central_America/USA_United_States_of_America/TX_Texas/USA_TX_Midland.Intl.Air.and.Space.Port.722650_US.Normals.2006-2020.zip</v>
      </c>
    </row>
    <row r="1731" spans="1:10" x14ac:dyDescent="0.25">
      <c r="A1731" t="s">
        <v>35</v>
      </c>
      <c r="B1731" t="s">
        <v>1023</v>
      </c>
      <c r="C1731" t="s">
        <v>1074</v>
      </c>
      <c r="D1731" s="2">
        <v>722597</v>
      </c>
      <c r="E1731" t="s">
        <v>13</v>
      </c>
      <c r="F1731">
        <v>32.781700000000001</v>
      </c>
      <c r="G1731">
        <v>-98.060299999999998</v>
      </c>
      <c r="H1731">
        <v>-7</v>
      </c>
      <c r="I1731">
        <v>283.5</v>
      </c>
      <c r="J1731" t="str">
        <f>HYPERLINK("https://climate.onebuilding.org/WMO_Region_4_North_and_Central_America/USA_United_States_of_America/TX_Texas/USA_TX_Mineral.Wells.AP.722597_US.Normals.2006-2020.zip")</f>
        <v>https://climate.onebuilding.org/WMO_Region_4_North_and_Central_America/USA_United_States_of_America/TX_Texas/USA_TX_Mineral.Wells.AP.722597_US.Normals.2006-2020.zip</v>
      </c>
    </row>
    <row r="1732" spans="1:10" x14ac:dyDescent="0.25">
      <c r="A1732" t="s">
        <v>35</v>
      </c>
      <c r="B1732" t="s">
        <v>1023</v>
      </c>
      <c r="C1732" t="s">
        <v>1075</v>
      </c>
      <c r="D1732" s="2">
        <v>747290</v>
      </c>
      <c r="E1732" t="s">
        <v>13</v>
      </c>
      <c r="F1732">
        <v>31.6219</v>
      </c>
      <c r="G1732">
        <v>-102.80719999999999</v>
      </c>
      <c r="H1732">
        <v>-7</v>
      </c>
      <c r="I1732">
        <v>830.3</v>
      </c>
      <c r="J1732" t="str">
        <f>HYPERLINK("https://climate.onebuilding.org/WMO_Region_4_North_and_Central_America/USA_United_States_of_America/TX_Texas/USA_TX_Monahans.Sandhills.State.Park.747290_US.Normals.2006-2020.zip")</f>
        <v>https://climate.onebuilding.org/WMO_Region_4_North_and_Central_America/USA_United_States_of_America/TX_Texas/USA_TX_Monahans.Sandhills.State.Park.747290_US.Normals.2006-2020.zip</v>
      </c>
    </row>
    <row r="1733" spans="1:10" x14ac:dyDescent="0.25">
      <c r="A1733" t="s">
        <v>35</v>
      </c>
      <c r="B1733" t="s">
        <v>1023</v>
      </c>
      <c r="C1733" t="s">
        <v>1076</v>
      </c>
      <c r="D1733" s="2">
        <v>747270</v>
      </c>
      <c r="E1733" t="s">
        <v>13</v>
      </c>
      <c r="F1733">
        <v>33.955800000000004</v>
      </c>
      <c r="G1733">
        <v>-102.7739</v>
      </c>
      <c r="H1733">
        <v>-7</v>
      </c>
      <c r="I1733">
        <v>1140.5999999999999</v>
      </c>
      <c r="J1733" t="str">
        <f>HYPERLINK("https://climate.onebuilding.org/WMO_Region_4_North_and_Central_America/USA_United_States_of_America/TX_Texas/USA_TX_Muleshoe.Natl.Wildlife.Refuge.747270_US.Normals.2006-2020.zip")</f>
        <v>https://climate.onebuilding.org/WMO_Region_4_North_and_Central_America/USA_United_States_of_America/TX_Texas/USA_TX_Muleshoe.Natl.Wildlife.Refuge.747270_US.Normals.2006-2020.zip</v>
      </c>
    </row>
    <row r="1734" spans="1:10" x14ac:dyDescent="0.25">
      <c r="A1734" t="s">
        <v>35</v>
      </c>
      <c r="B1734" t="s">
        <v>1023</v>
      </c>
      <c r="C1734" t="s">
        <v>1077</v>
      </c>
      <c r="D1734" s="2">
        <v>722515</v>
      </c>
      <c r="E1734" t="s">
        <v>13</v>
      </c>
      <c r="F1734">
        <v>27.683299999999999</v>
      </c>
      <c r="G1734">
        <v>-97.283299999999997</v>
      </c>
      <c r="H1734">
        <v>-6</v>
      </c>
      <c r="I1734">
        <v>5.5</v>
      </c>
      <c r="J1734" t="str">
        <f>HYPERLINK("https://climate.onebuilding.org/WMO_Region_4_North_and_Central_America/USA_United_States_of_America/TX_Texas/USA_TX_NAS.Corpus.Christi-Truax.Field.722515_US.Normals.1981-2010.zip")</f>
        <v>https://climate.onebuilding.org/WMO_Region_4_North_and_Central_America/USA_United_States_of_America/TX_Texas/USA_TX_NAS.Corpus.Christi-Truax.Field.722515_US.Normals.1981-2010.zip</v>
      </c>
    </row>
    <row r="1735" spans="1:10" x14ac:dyDescent="0.25">
      <c r="A1735" t="s">
        <v>35</v>
      </c>
      <c r="B1735" t="s">
        <v>1023</v>
      </c>
      <c r="C1735" t="s">
        <v>1077</v>
      </c>
      <c r="D1735" s="2">
        <v>722515</v>
      </c>
      <c r="E1735" t="s">
        <v>13</v>
      </c>
      <c r="F1735">
        <v>27.683299999999999</v>
      </c>
      <c r="G1735">
        <v>-97.283299999999997</v>
      </c>
      <c r="H1735">
        <v>-6</v>
      </c>
      <c r="I1735">
        <v>5.5</v>
      </c>
      <c r="J1735" t="str">
        <f>HYPERLINK("https://climate.onebuilding.org/WMO_Region_4_North_and_Central_America/USA_United_States_of_America/TX_Texas/USA_TX_NAS.Corpus.Christi-Truax.Field.722515_US.Normals.1991-2020.zip")</f>
        <v>https://climate.onebuilding.org/WMO_Region_4_North_and_Central_America/USA_United_States_of_America/TX_Texas/USA_TX_NAS.Corpus.Christi-Truax.Field.722515_US.Normals.1991-2020.zip</v>
      </c>
    </row>
    <row r="1736" spans="1:10" x14ac:dyDescent="0.25">
      <c r="A1736" t="s">
        <v>35</v>
      </c>
      <c r="B1736" t="s">
        <v>1023</v>
      </c>
      <c r="C1736" t="s">
        <v>1077</v>
      </c>
      <c r="D1736" s="2">
        <v>722515</v>
      </c>
      <c r="E1736" t="s">
        <v>13</v>
      </c>
      <c r="F1736">
        <v>27.683299999999999</v>
      </c>
      <c r="G1736">
        <v>-97.283299999999997</v>
      </c>
      <c r="H1736">
        <v>-6</v>
      </c>
      <c r="I1736">
        <v>5.5</v>
      </c>
      <c r="J1736" t="str">
        <f>HYPERLINK("https://climate.onebuilding.org/WMO_Region_4_North_and_Central_America/USA_United_States_of_America/TX_Texas/USA_TX_NAS.Corpus.Christi-Truax.Field.722515_US.Normals.2006-2020.zip")</f>
        <v>https://climate.onebuilding.org/WMO_Region_4_North_and_Central_America/USA_United_States_of_America/TX_Texas/USA_TX_NAS.Corpus.Christi-Truax.Field.722515_US.Normals.2006-2020.zip</v>
      </c>
    </row>
    <row r="1737" spans="1:10" x14ac:dyDescent="0.25">
      <c r="A1737" t="s">
        <v>35</v>
      </c>
      <c r="B1737" t="s">
        <v>1023</v>
      </c>
      <c r="C1737" t="s">
        <v>1078</v>
      </c>
      <c r="D1737" s="2">
        <v>722516</v>
      </c>
      <c r="E1737" t="s">
        <v>13</v>
      </c>
      <c r="F1737">
        <v>27.5</v>
      </c>
      <c r="G1737">
        <v>-97.816699999999997</v>
      </c>
      <c r="H1737">
        <v>-7</v>
      </c>
      <c r="I1737">
        <v>17.100000000000001</v>
      </c>
      <c r="J1737" t="str">
        <f>HYPERLINK("https://climate.onebuilding.org/WMO_Region_4_North_and_Central_America/USA_United_States_of_America/TX_Texas/USA_TX_NAS.Kingsville.722516_US.Normals.2006-2020.zip")</f>
        <v>https://climate.onebuilding.org/WMO_Region_4_North_and_Central_America/USA_United_States_of_America/TX_Texas/USA_TX_NAS.Kingsville.722516_US.Normals.2006-2020.zip</v>
      </c>
    </row>
    <row r="1738" spans="1:10" x14ac:dyDescent="0.25">
      <c r="A1738" t="s">
        <v>35</v>
      </c>
      <c r="B1738" t="s">
        <v>1023</v>
      </c>
      <c r="C1738" t="s">
        <v>1079</v>
      </c>
      <c r="D1738" s="2">
        <v>747490</v>
      </c>
      <c r="E1738" t="s">
        <v>13</v>
      </c>
      <c r="F1738">
        <v>31.779699999999998</v>
      </c>
      <c r="G1738">
        <v>-95.723299999999995</v>
      </c>
      <c r="H1738">
        <v>-6</v>
      </c>
      <c r="I1738">
        <v>116.7</v>
      </c>
      <c r="J1738" t="str">
        <f>HYPERLINK("https://climate.onebuilding.org/WMO_Region_4_North_and_Central_America/USA_United_States_of_America/TX_Texas/USA_TX_NASA.Natl.Scientific.Balloon.Facility.747490_US.Normals.2006-2020.zip")</f>
        <v>https://climate.onebuilding.org/WMO_Region_4_North_and_Central_America/USA_United_States_of_America/TX_Texas/USA_TX_NASA.Natl.Scientific.Balloon.Facility.747490_US.Normals.2006-2020.zip</v>
      </c>
    </row>
    <row r="1739" spans="1:10" x14ac:dyDescent="0.25">
      <c r="A1739" t="s">
        <v>35</v>
      </c>
      <c r="B1739" t="s">
        <v>1023</v>
      </c>
      <c r="C1739" t="s">
        <v>1080</v>
      </c>
      <c r="D1739" s="2">
        <v>722416</v>
      </c>
      <c r="E1739" t="s">
        <v>13</v>
      </c>
      <c r="F1739">
        <v>29.703600000000002</v>
      </c>
      <c r="G1739">
        <v>-98.028099999999995</v>
      </c>
      <c r="H1739">
        <v>-7</v>
      </c>
      <c r="I1739">
        <v>192.9</v>
      </c>
      <c r="J1739" t="str">
        <f>HYPERLINK("https://climate.onebuilding.org/WMO_Region_4_North_and_Central_America/USA_United_States_of_America/TX_Texas/USA_TX_New.Braunfels.Rgnl.AP.722416_US.Normals.2006-2020.zip")</f>
        <v>https://climate.onebuilding.org/WMO_Region_4_North_and_Central_America/USA_United_States_of_America/TX_Texas/USA_TX_New.Braunfels.Rgnl.AP.722416_US.Normals.2006-2020.zip</v>
      </c>
    </row>
    <row r="1740" spans="1:10" x14ac:dyDescent="0.25">
      <c r="A1740" t="s">
        <v>35</v>
      </c>
      <c r="B1740" t="s">
        <v>1023</v>
      </c>
      <c r="C1740" t="s">
        <v>1081</v>
      </c>
      <c r="D1740" s="2">
        <v>747370</v>
      </c>
      <c r="E1740" t="s">
        <v>13</v>
      </c>
      <c r="F1740">
        <v>32.040799999999997</v>
      </c>
      <c r="G1740">
        <v>-100.24939999999999</v>
      </c>
      <c r="H1740">
        <v>-7</v>
      </c>
      <c r="I1740">
        <v>608.70000000000005</v>
      </c>
      <c r="J1740" t="str">
        <f>HYPERLINK("https://climate.onebuilding.org/WMO_Region_4_North_and_Central_America/USA_United_States_of_America/TX_Texas/USA_TX_Oak.Creek.Reservoir.747370_US.Normals.2006-2020.zip")</f>
        <v>https://climate.onebuilding.org/WMO_Region_4_North_and_Central_America/USA_United_States_of_America/TX_Texas/USA_TX_Oak.Creek.Reservoir.747370_US.Normals.2006-2020.zip</v>
      </c>
    </row>
    <row r="1741" spans="1:10" x14ac:dyDescent="0.25">
      <c r="A1741" t="s">
        <v>35</v>
      </c>
      <c r="B1741" t="s">
        <v>1023</v>
      </c>
      <c r="C1741" t="s">
        <v>1082</v>
      </c>
      <c r="D1741" s="2">
        <v>722648</v>
      </c>
      <c r="E1741" t="s">
        <v>13</v>
      </c>
      <c r="F1741">
        <v>31.9206</v>
      </c>
      <c r="G1741">
        <v>-102.3867</v>
      </c>
      <c r="H1741">
        <v>-7</v>
      </c>
      <c r="I1741">
        <v>914.7</v>
      </c>
      <c r="J1741" t="str">
        <f>HYPERLINK("https://climate.onebuilding.org/WMO_Region_4_North_and_Central_America/USA_United_States_of_America/TX_Texas/USA_TX_Odessa-Schlemeyer.Field.AP.722648_US.Normals.2006-2020.zip")</f>
        <v>https://climate.onebuilding.org/WMO_Region_4_North_and_Central_America/USA_United_States_of_America/TX_Texas/USA_TX_Odessa-Schlemeyer.Field.AP.722648_US.Normals.2006-2020.zip</v>
      </c>
    </row>
    <row r="1742" spans="1:10" x14ac:dyDescent="0.25">
      <c r="A1742" t="s">
        <v>35</v>
      </c>
      <c r="B1742" t="s">
        <v>1023</v>
      </c>
      <c r="C1742" t="s">
        <v>1083</v>
      </c>
      <c r="D1742" s="2">
        <v>722555</v>
      </c>
      <c r="E1742" t="s">
        <v>13</v>
      </c>
      <c r="F1742">
        <v>28.724699999999999</v>
      </c>
      <c r="G1742">
        <v>-96.253600000000006</v>
      </c>
      <c r="H1742">
        <v>-6</v>
      </c>
      <c r="I1742">
        <v>3.7</v>
      </c>
      <c r="J1742" t="str">
        <f>HYPERLINK("https://climate.onebuilding.org/WMO_Region_4_North_and_Central_America/USA_United_States_of_America/TX_Texas/USA_TX_Palacios.Muni.AP.722555_US.Normals.1991-2020.zip")</f>
        <v>https://climate.onebuilding.org/WMO_Region_4_North_and_Central_America/USA_United_States_of_America/TX_Texas/USA_TX_Palacios.Muni.AP.722555_US.Normals.1991-2020.zip</v>
      </c>
    </row>
    <row r="1743" spans="1:10" x14ac:dyDescent="0.25">
      <c r="A1743" t="s">
        <v>35</v>
      </c>
      <c r="B1743" t="s">
        <v>1023</v>
      </c>
      <c r="C1743" t="s">
        <v>1083</v>
      </c>
      <c r="D1743" s="2">
        <v>722555</v>
      </c>
      <c r="E1743" t="s">
        <v>13</v>
      </c>
      <c r="F1743">
        <v>28.724699999999999</v>
      </c>
      <c r="G1743">
        <v>-96.253600000000006</v>
      </c>
      <c r="H1743">
        <v>-6</v>
      </c>
      <c r="I1743">
        <v>3.7</v>
      </c>
      <c r="J1743" t="str">
        <f>HYPERLINK("https://climate.onebuilding.org/WMO_Region_4_North_and_Central_America/USA_United_States_of_America/TX_Texas/USA_TX_Palacios.Muni.AP.722555_US.Normals.2006-2020.zip")</f>
        <v>https://climate.onebuilding.org/WMO_Region_4_North_and_Central_America/USA_United_States_of_America/TX_Texas/USA_TX_Palacios.Muni.AP.722555_US.Normals.2006-2020.zip</v>
      </c>
    </row>
    <row r="1744" spans="1:10" x14ac:dyDescent="0.25">
      <c r="A1744" t="s">
        <v>35</v>
      </c>
      <c r="B1744" t="s">
        <v>1023</v>
      </c>
      <c r="C1744" t="s">
        <v>1084</v>
      </c>
      <c r="D1744" s="2">
        <v>722427</v>
      </c>
      <c r="E1744" t="s">
        <v>13</v>
      </c>
      <c r="F1744">
        <v>29.518899999999999</v>
      </c>
      <c r="G1744">
        <v>-95.241699999999994</v>
      </c>
      <c r="H1744">
        <v>-6</v>
      </c>
      <c r="I1744">
        <v>13.4</v>
      </c>
      <c r="J1744" t="str">
        <f>HYPERLINK("https://climate.onebuilding.org/WMO_Region_4_North_and_Central_America/USA_United_States_of_America/TX_Texas/USA_TX_Pearland.Rgnl.AP-Clover.Field.722427_US.Normals.2006-2020.zip")</f>
        <v>https://climate.onebuilding.org/WMO_Region_4_North_and_Central_America/USA_United_States_of_America/TX_Texas/USA_TX_Pearland.Rgnl.AP-Clover.Field.722427_US.Normals.2006-2020.zip</v>
      </c>
    </row>
    <row r="1745" spans="1:10" x14ac:dyDescent="0.25">
      <c r="A1745" t="s">
        <v>35</v>
      </c>
      <c r="B1745" t="s">
        <v>1023</v>
      </c>
      <c r="C1745" t="s">
        <v>1085</v>
      </c>
      <c r="D1745" s="2">
        <v>722508</v>
      </c>
      <c r="E1745" t="s">
        <v>13</v>
      </c>
      <c r="F1745">
        <v>26.165800000000001</v>
      </c>
      <c r="G1745">
        <v>-97.345799999999997</v>
      </c>
      <c r="H1745">
        <v>-6</v>
      </c>
      <c r="I1745">
        <v>5.8</v>
      </c>
      <c r="J1745" t="str">
        <f>HYPERLINK("https://climate.onebuilding.org/WMO_Region_4_North_and_Central_America/USA_United_States_of_America/TX_Texas/USA_TX_Port.Isabel-Cameron.County.AP.722508_US.Normals.2006-2020.zip")</f>
        <v>https://climate.onebuilding.org/WMO_Region_4_North_and_Central_America/USA_United_States_of_America/TX_Texas/USA_TX_Port.Isabel-Cameron.County.AP.722508_US.Normals.2006-2020.zip</v>
      </c>
    </row>
    <row r="1746" spans="1:10" x14ac:dyDescent="0.25">
      <c r="A1746" t="s">
        <v>35</v>
      </c>
      <c r="B1746" t="s">
        <v>1023</v>
      </c>
      <c r="C1746" t="s">
        <v>1086</v>
      </c>
      <c r="D1746" s="2">
        <v>722524</v>
      </c>
      <c r="E1746" t="s">
        <v>13</v>
      </c>
      <c r="F1746">
        <v>28.083600000000001</v>
      </c>
      <c r="G1746">
        <v>-97.046400000000006</v>
      </c>
      <c r="H1746">
        <v>-6</v>
      </c>
      <c r="I1746">
        <v>6.7</v>
      </c>
      <c r="J1746" t="str">
        <f>HYPERLINK("https://climate.onebuilding.org/WMO_Region_4_North_and_Central_America/USA_United_States_of_America/TX_Texas/USA_TX_Rockport-Aransas.County.AP.722524_US.Normals.2006-2020.zip")</f>
        <v>https://climate.onebuilding.org/WMO_Region_4_North_and_Central_America/USA_United_States_of_America/TX_Texas/USA_TX_Rockport-Aransas.County.AP.722524_US.Normals.2006-2020.zip</v>
      </c>
    </row>
    <row r="1747" spans="1:10" x14ac:dyDescent="0.25">
      <c r="A1747" t="s">
        <v>35</v>
      </c>
      <c r="B1747" t="s">
        <v>1023</v>
      </c>
      <c r="C1747" t="s">
        <v>1087</v>
      </c>
      <c r="D1747" s="2">
        <v>722630</v>
      </c>
      <c r="E1747" t="s">
        <v>13</v>
      </c>
      <c r="F1747">
        <v>31.371099999999998</v>
      </c>
      <c r="G1747">
        <v>-100.4922</v>
      </c>
      <c r="H1747">
        <v>-7</v>
      </c>
      <c r="I1747">
        <v>576.1</v>
      </c>
      <c r="J1747" t="str">
        <f>HYPERLINK("https://climate.onebuilding.org/WMO_Region_4_North_and_Central_America/USA_United_States_of_America/TX_Texas/USA_TX_San.Angelo.Rgnl.AP-Mathis.Field.722630_US.Normals.1981-2010.zip")</f>
        <v>https://climate.onebuilding.org/WMO_Region_4_North_and_Central_America/USA_United_States_of_America/TX_Texas/USA_TX_San.Angelo.Rgnl.AP-Mathis.Field.722630_US.Normals.1981-2010.zip</v>
      </c>
    </row>
    <row r="1748" spans="1:10" x14ac:dyDescent="0.25">
      <c r="A1748" t="s">
        <v>35</v>
      </c>
      <c r="B1748" t="s">
        <v>1023</v>
      </c>
      <c r="C1748" t="s">
        <v>1087</v>
      </c>
      <c r="D1748" s="2">
        <v>722630</v>
      </c>
      <c r="E1748" t="s">
        <v>13</v>
      </c>
      <c r="F1748">
        <v>31.371099999999998</v>
      </c>
      <c r="G1748">
        <v>-100.4922</v>
      </c>
      <c r="H1748">
        <v>-7</v>
      </c>
      <c r="I1748">
        <v>576.1</v>
      </c>
      <c r="J1748" t="str">
        <f>HYPERLINK("https://climate.onebuilding.org/WMO_Region_4_North_and_Central_America/USA_United_States_of_America/TX_Texas/USA_TX_San.Angelo.Rgnl.AP-Mathis.Field.722630_US.Normals.1991-2020.zip")</f>
        <v>https://climate.onebuilding.org/WMO_Region_4_North_and_Central_America/USA_United_States_of_America/TX_Texas/USA_TX_San.Angelo.Rgnl.AP-Mathis.Field.722630_US.Normals.1991-2020.zip</v>
      </c>
    </row>
    <row r="1749" spans="1:10" x14ac:dyDescent="0.25">
      <c r="A1749" t="s">
        <v>35</v>
      </c>
      <c r="B1749" t="s">
        <v>1023</v>
      </c>
      <c r="C1749" t="s">
        <v>1087</v>
      </c>
      <c r="D1749" s="2">
        <v>722630</v>
      </c>
      <c r="E1749" t="s">
        <v>13</v>
      </c>
      <c r="F1749">
        <v>31.371099999999998</v>
      </c>
      <c r="G1749">
        <v>-100.4922</v>
      </c>
      <c r="H1749">
        <v>-7</v>
      </c>
      <c r="I1749">
        <v>576.1</v>
      </c>
      <c r="J1749" t="str">
        <f>HYPERLINK("https://climate.onebuilding.org/WMO_Region_4_North_and_Central_America/USA_United_States_of_America/TX_Texas/USA_TX_San.Angelo.Rgnl.AP-Mathis.Field.722630_US.Normals.2006-2020.zip")</f>
        <v>https://climate.onebuilding.org/WMO_Region_4_North_and_Central_America/USA_United_States_of_America/TX_Texas/USA_TX_San.Angelo.Rgnl.AP-Mathis.Field.722630_US.Normals.2006-2020.zip</v>
      </c>
    </row>
    <row r="1750" spans="1:10" x14ac:dyDescent="0.25">
      <c r="A1750" t="s">
        <v>35</v>
      </c>
      <c r="B1750" t="s">
        <v>1023</v>
      </c>
      <c r="C1750" t="s">
        <v>1088</v>
      </c>
      <c r="D1750" s="2">
        <v>722535</v>
      </c>
      <c r="E1750" t="s">
        <v>13</v>
      </c>
      <c r="F1750">
        <v>29.383299999999998</v>
      </c>
      <c r="G1750">
        <v>-98.583299999999994</v>
      </c>
      <c r="H1750">
        <v>-7</v>
      </c>
      <c r="I1750">
        <v>207.9</v>
      </c>
      <c r="J1750" t="str">
        <f>HYPERLINK("https://climate.onebuilding.org/WMO_Region_4_North_and_Central_America/USA_United_States_of_America/TX_Texas/USA_TX_San.Antonio-JB.San.Antonio-Kelly.Field.Annex.722535_US.Normals.1981-2010.zip")</f>
        <v>https://climate.onebuilding.org/WMO_Region_4_North_and_Central_America/USA_United_States_of_America/TX_Texas/USA_TX_San.Antonio-JB.San.Antonio-Kelly.Field.Annex.722535_US.Normals.1981-2010.zip</v>
      </c>
    </row>
    <row r="1751" spans="1:10" x14ac:dyDescent="0.25">
      <c r="A1751" t="s">
        <v>35</v>
      </c>
      <c r="B1751" t="s">
        <v>1023</v>
      </c>
      <c r="C1751" t="s">
        <v>1088</v>
      </c>
      <c r="D1751" s="2">
        <v>722535</v>
      </c>
      <c r="E1751" t="s">
        <v>13</v>
      </c>
      <c r="F1751">
        <v>29.383299999999998</v>
      </c>
      <c r="G1751">
        <v>-98.583299999999994</v>
      </c>
      <c r="H1751">
        <v>-7</v>
      </c>
      <c r="I1751">
        <v>207.9</v>
      </c>
      <c r="J1751" t="str">
        <f>HYPERLINK("https://climate.onebuilding.org/WMO_Region_4_North_and_Central_America/USA_United_States_of_America/TX_Texas/USA_TX_San.Antonio-JB.San.Antonio-Kelly.Field.Annex.722535_US.Normals.1991-2020.zip")</f>
        <v>https://climate.onebuilding.org/WMO_Region_4_North_and_Central_America/USA_United_States_of_America/TX_Texas/USA_TX_San.Antonio-JB.San.Antonio-Kelly.Field.Annex.722535_US.Normals.1991-2020.zip</v>
      </c>
    </row>
    <row r="1752" spans="1:10" x14ac:dyDescent="0.25">
      <c r="A1752" t="s">
        <v>35</v>
      </c>
      <c r="B1752" t="s">
        <v>1023</v>
      </c>
      <c r="C1752" t="s">
        <v>1088</v>
      </c>
      <c r="D1752" s="2">
        <v>722535</v>
      </c>
      <c r="E1752" t="s">
        <v>13</v>
      </c>
      <c r="F1752">
        <v>29.383299999999998</v>
      </c>
      <c r="G1752">
        <v>-98.583299999999994</v>
      </c>
      <c r="H1752">
        <v>-7</v>
      </c>
      <c r="I1752">
        <v>207.9</v>
      </c>
      <c r="J1752" t="str">
        <f>HYPERLINK("https://climate.onebuilding.org/WMO_Region_4_North_and_Central_America/USA_United_States_of_America/TX_Texas/USA_TX_San.Antonio-JB.San.Antonio-Kelly.Field.Annex.722535_US.Normals.2006-2020.zip")</f>
        <v>https://climate.onebuilding.org/WMO_Region_4_North_and_Central_America/USA_United_States_of_America/TX_Texas/USA_TX_San.Antonio-JB.San.Antonio-Kelly.Field.Annex.722535_US.Normals.2006-2020.zip</v>
      </c>
    </row>
    <row r="1753" spans="1:10" x14ac:dyDescent="0.25">
      <c r="A1753" t="s">
        <v>35</v>
      </c>
      <c r="B1753" t="s">
        <v>1023</v>
      </c>
      <c r="C1753" t="s">
        <v>1089</v>
      </c>
      <c r="D1753" s="2">
        <v>722536</v>
      </c>
      <c r="E1753" t="s">
        <v>13</v>
      </c>
      <c r="F1753">
        <v>29.543900000000001</v>
      </c>
      <c r="G1753">
        <v>-98.273600000000002</v>
      </c>
      <c r="H1753">
        <v>-7</v>
      </c>
      <c r="I1753">
        <v>231.6</v>
      </c>
      <c r="J1753" t="str">
        <f>HYPERLINK("https://climate.onebuilding.org/WMO_Region_4_North_and_Central_America/USA_United_States_of_America/TX_Texas/USA_TX_San.Antonio-JB.San.Antonio-Randolph.AFB.722536_US.Normals.2006-2020.zip")</f>
        <v>https://climate.onebuilding.org/WMO_Region_4_North_and_Central_America/USA_United_States_of_America/TX_Texas/USA_TX_San.Antonio-JB.San.Antonio-Randolph.AFB.722536_US.Normals.2006-2020.zip</v>
      </c>
    </row>
    <row r="1754" spans="1:10" x14ac:dyDescent="0.25">
      <c r="A1754" t="s">
        <v>35</v>
      </c>
      <c r="B1754" t="s">
        <v>1023</v>
      </c>
      <c r="C1754" t="s">
        <v>1090</v>
      </c>
      <c r="D1754" s="2">
        <v>722523</v>
      </c>
      <c r="E1754" t="s">
        <v>13</v>
      </c>
      <c r="F1754">
        <v>29.338899999999999</v>
      </c>
      <c r="G1754">
        <v>-98.471900000000005</v>
      </c>
      <c r="H1754">
        <v>-7</v>
      </c>
      <c r="I1754">
        <v>174</v>
      </c>
      <c r="J1754" t="str">
        <f>HYPERLINK("https://climate.onebuilding.org/WMO_Region_4_North_and_Central_America/USA_United_States_of_America/TX_Texas/USA_TX_San.Antonio-Stinson.Muni.AP.722523_US.Normals.2006-2020.zip")</f>
        <v>https://climate.onebuilding.org/WMO_Region_4_North_and_Central_America/USA_United_States_of_America/TX_Texas/USA_TX_San.Antonio-Stinson.Muni.AP.722523_US.Normals.2006-2020.zip</v>
      </c>
    </row>
    <row r="1755" spans="1:10" x14ac:dyDescent="0.25">
      <c r="A1755" t="s">
        <v>35</v>
      </c>
      <c r="B1755" t="s">
        <v>1023</v>
      </c>
      <c r="C1755" t="s">
        <v>1091</v>
      </c>
      <c r="D1755" s="2">
        <v>722530</v>
      </c>
      <c r="E1755" t="s">
        <v>13</v>
      </c>
      <c r="F1755">
        <v>29.5442</v>
      </c>
      <c r="G1755">
        <v>-98.483900000000006</v>
      </c>
      <c r="H1755">
        <v>-7</v>
      </c>
      <c r="I1755">
        <v>240.5</v>
      </c>
      <c r="J1755" t="str">
        <f>HYPERLINK("https://climate.onebuilding.org/WMO_Region_4_North_and_Central_America/USA_United_States_of_America/TX_Texas/USA_TX_San.Antonio.Intl.AP.722530_US.Normals.1981-2010.zip")</f>
        <v>https://climate.onebuilding.org/WMO_Region_4_North_and_Central_America/USA_United_States_of_America/TX_Texas/USA_TX_San.Antonio.Intl.AP.722530_US.Normals.1981-2010.zip</v>
      </c>
    </row>
    <row r="1756" spans="1:10" x14ac:dyDescent="0.25">
      <c r="A1756" t="s">
        <v>35</v>
      </c>
      <c r="B1756" t="s">
        <v>1023</v>
      </c>
      <c r="C1756" t="s">
        <v>1091</v>
      </c>
      <c r="D1756" s="2">
        <v>722530</v>
      </c>
      <c r="E1756" t="s">
        <v>13</v>
      </c>
      <c r="F1756">
        <v>29.5442</v>
      </c>
      <c r="G1756">
        <v>-98.483900000000006</v>
      </c>
      <c r="H1756">
        <v>-7</v>
      </c>
      <c r="I1756">
        <v>240.5</v>
      </c>
      <c r="J1756" t="str">
        <f>HYPERLINK("https://climate.onebuilding.org/WMO_Region_4_North_and_Central_America/USA_United_States_of_America/TX_Texas/USA_TX_San.Antonio.Intl.AP.722530_US.Normals.1991-2020.zip")</f>
        <v>https://climate.onebuilding.org/WMO_Region_4_North_and_Central_America/USA_United_States_of_America/TX_Texas/USA_TX_San.Antonio.Intl.AP.722530_US.Normals.1991-2020.zip</v>
      </c>
    </row>
    <row r="1757" spans="1:10" x14ac:dyDescent="0.25">
      <c r="A1757" t="s">
        <v>35</v>
      </c>
      <c r="B1757" t="s">
        <v>1023</v>
      </c>
      <c r="C1757" t="s">
        <v>1091</v>
      </c>
      <c r="D1757" s="2">
        <v>722530</v>
      </c>
      <c r="E1757" t="s">
        <v>13</v>
      </c>
      <c r="F1757">
        <v>29.5442</v>
      </c>
      <c r="G1757">
        <v>-98.483900000000006</v>
      </c>
      <c r="H1757">
        <v>-7</v>
      </c>
      <c r="I1757">
        <v>240.5</v>
      </c>
      <c r="J1757" t="str">
        <f>HYPERLINK("https://climate.onebuilding.org/WMO_Region_4_North_and_Central_America/USA_United_States_of_America/TX_Texas/USA_TX_San.Antonio.Intl.AP.722530_US.Normals.2006-2020.zip")</f>
        <v>https://climate.onebuilding.org/WMO_Region_4_North_and_Central_America/USA_United_States_of_America/TX_Texas/USA_TX_San.Antonio.Intl.AP.722530_US.Normals.2006-2020.zip</v>
      </c>
    </row>
    <row r="1758" spans="1:10" x14ac:dyDescent="0.25">
      <c r="A1758" t="s">
        <v>35</v>
      </c>
      <c r="B1758" t="s">
        <v>1023</v>
      </c>
      <c r="C1758" t="s">
        <v>1092</v>
      </c>
      <c r="D1758" s="2">
        <v>722616</v>
      </c>
      <c r="E1758" t="s">
        <v>13</v>
      </c>
      <c r="F1758">
        <v>30.048100000000002</v>
      </c>
      <c r="G1758">
        <v>-102.2131</v>
      </c>
      <c r="H1758">
        <v>-7</v>
      </c>
      <c r="I1758">
        <v>707.7</v>
      </c>
      <c r="J1758" t="str">
        <f>HYPERLINK("https://climate.onebuilding.org/WMO_Region_4_North_and_Central_America/USA_United_States_of_America/TX_Texas/USA_TX_Sanderson-Terrell.County.AP.722616_US.Normals.2006-2020.zip")</f>
        <v>https://climate.onebuilding.org/WMO_Region_4_North_and_Central_America/USA_United_States_of_America/TX_Texas/USA_TX_Sanderson-Terrell.County.AP.722616_US.Normals.2006-2020.zip</v>
      </c>
    </row>
    <row r="1759" spans="1:10" x14ac:dyDescent="0.25">
      <c r="A1759" t="s">
        <v>35</v>
      </c>
      <c r="B1759" t="s">
        <v>1023</v>
      </c>
      <c r="C1759" t="s">
        <v>1093</v>
      </c>
      <c r="D1759" s="2">
        <v>722543</v>
      </c>
      <c r="E1759" t="s">
        <v>13</v>
      </c>
      <c r="F1759">
        <v>29.622199999999999</v>
      </c>
      <c r="G1759">
        <v>-95.656400000000005</v>
      </c>
      <c r="H1759">
        <v>-6</v>
      </c>
      <c r="I1759">
        <v>25</v>
      </c>
      <c r="J1759" t="str">
        <f>HYPERLINK("https://climate.onebuilding.org/WMO_Region_4_North_and_Central_America/USA_United_States_of_America/TX_Texas/USA_TX_Sugar.Land.Rgnl.AP.722543_US.Normals.2006-2020.zip")</f>
        <v>https://climate.onebuilding.org/WMO_Region_4_North_and_Central_America/USA_United_States_of_America/TX_Texas/USA_TX_Sugar.Land.Rgnl.AP.722543_US.Normals.2006-2020.zip</v>
      </c>
    </row>
    <row r="1760" spans="1:10" x14ac:dyDescent="0.25">
      <c r="A1760" t="s">
        <v>35</v>
      </c>
      <c r="B1760" t="s">
        <v>1023</v>
      </c>
      <c r="C1760" t="s">
        <v>1094</v>
      </c>
      <c r="D1760" s="2">
        <v>722489</v>
      </c>
      <c r="E1760" t="s">
        <v>13</v>
      </c>
      <c r="F1760">
        <v>32.71</v>
      </c>
      <c r="G1760">
        <v>-96.267200000000003</v>
      </c>
      <c r="H1760">
        <v>-6</v>
      </c>
      <c r="I1760">
        <v>144.80000000000001</v>
      </c>
      <c r="J1760" t="str">
        <f>HYPERLINK("https://climate.onebuilding.org/WMO_Region_4_North_and_Central_America/USA_United_States_of_America/TX_Texas/USA_TX_Terrell.Muni.AP.722489_US.Normals.2006-2020.zip")</f>
        <v>https://climate.onebuilding.org/WMO_Region_4_North_and_Central_America/USA_United_States_of_America/TX_Texas/USA_TX_Terrell.Muni.AP.722489_US.Normals.2006-2020.zip</v>
      </c>
    </row>
    <row r="1761" spans="1:10" x14ac:dyDescent="0.25">
      <c r="A1761" t="s">
        <v>35</v>
      </c>
      <c r="B1761" t="s">
        <v>1023</v>
      </c>
      <c r="C1761" t="s">
        <v>1095</v>
      </c>
      <c r="D1761" s="2">
        <v>722448</v>
      </c>
      <c r="E1761" t="s">
        <v>13</v>
      </c>
      <c r="F1761">
        <v>32.354199999999999</v>
      </c>
      <c r="G1761">
        <v>-95.402500000000003</v>
      </c>
      <c r="H1761">
        <v>-6</v>
      </c>
      <c r="I1761">
        <v>165.8</v>
      </c>
      <c r="J1761" t="str">
        <f>HYPERLINK("https://climate.onebuilding.org/WMO_Region_4_North_and_Central_America/USA_United_States_of_America/TX_Texas/USA_TX_Tyler.Pounds.Rgnl.AP.722448_US.Normals.2006-2020.zip")</f>
        <v>https://climate.onebuilding.org/WMO_Region_4_North_and_Central_America/USA_United_States_of_America/TX_Texas/USA_TX_Tyler.Pounds.Rgnl.AP.722448_US.Normals.2006-2020.zip</v>
      </c>
    </row>
    <row r="1762" spans="1:10" x14ac:dyDescent="0.25">
      <c r="A1762" t="s">
        <v>35</v>
      </c>
      <c r="B1762" t="s">
        <v>1023</v>
      </c>
      <c r="C1762" t="s">
        <v>1096</v>
      </c>
      <c r="D1762" s="2">
        <v>722550</v>
      </c>
      <c r="E1762" t="s">
        <v>13</v>
      </c>
      <c r="F1762">
        <v>28.8614</v>
      </c>
      <c r="G1762">
        <v>-96.930300000000003</v>
      </c>
      <c r="H1762">
        <v>-6</v>
      </c>
      <c r="I1762">
        <v>35.1</v>
      </c>
      <c r="J1762" t="str">
        <f>HYPERLINK("https://climate.onebuilding.org/WMO_Region_4_North_and_Central_America/USA_United_States_of_America/TX_Texas/USA_TX_Victoria.Rgnl.AP.722550_US.Normals.1981-2010.zip")</f>
        <v>https://climate.onebuilding.org/WMO_Region_4_North_and_Central_America/USA_United_States_of_America/TX_Texas/USA_TX_Victoria.Rgnl.AP.722550_US.Normals.1981-2010.zip</v>
      </c>
    </row>
    <row r="1763" spans="1:10" x14ac:dyDescent="0.25">
      <c r="A1763" t="s">
        <v>35</v>
      </c>
      <c r="B1763" t="s">
        <v>1023</v>
      </c>
      <c r="C1763" t="s">
        <v>1096</v>
      </c>
      <c r="D1763" s="2">
        <v>722550</v>
      </c>
      <c r="E1763" t="s">
        <v>13</v>
      </c>
      <c r="F1763">
        <v>28.8614</v>
      </c>
      <c r="G1763">
        <v>-96.930300000000003</v>
      </c>
      <c r="H1763">
        <v>-6</v>
      </c>
      <c r="I1763">
        <v>35.1</v>
      </c>
      <c r="J1763" t="str">
        <f>HYPERLINK("https://climate.onebuilding.org/WMO_Region_4_North_and_Central_America/USA_United_States_of_America/TX_Texas/USA_TX_Victoria.Rgnl.AP.722550_US.Normals.1991-2020.zip")</f>
        <v>https://climate.onebuilding.org/WMO_Region_4_North_and_Central_America/USA_United_States_of_America/TX_Texas/USA_TX_Victoria.Rgnl.AP.722550_US.Normals.1991-2020.zip</v>
      </c>
    </row>
    <row r="1764" spans="1:10" x14ac:dyDescent="0.25">
      <c r="A1764" t="s">
        <v>35</v>
      </c>
      <c r="B1764" t="s">
        <v>1023</v>
      </c>
      <c r="C1764" t="s">
        <v>1096</v>
      </c>
      <c r="D1764" s="2">
        <v>722550</v>
      </c>
      <c r="E1764" t="s">
        <v>13</v>
      </c>
      <c r="F1764">
        <v>28.8614</v>
      </c>
      <c r="G1764">
        <v>-96.930300000000003</v>
      </c>
      <c r="H1764">
        <v>-6</v>
      </c>
      <c r="I1764">
        <v>35.1</v>
      </c>
      <c r="J1764" t="str">
        <f>HYPERLINK("https://climate.onebuilding.org/WMO_Region_4_North_and_Central_America/USA_United_States_of_America/TX_Texas/USA_TX_Victoria.Rgnl.AP.722550_US.Normals.2006-2020.zip")</f>
        <v>https://climate.onebuilding.org/WMO_Region_4_North_and_Central_America/USA_United_States_of_America/TX_Texas/USA_TX_Victoria.Rgnl.AP.722550_US.Normals.2006-2020.zip</v>
      </c>
    </row>
    <row r="1765" spans="1:10" x14ac:dyDescent="0.25">
      <c r="A1765" t="s">
        <v>35</v>
      </c>
      <c r="B1765" t="s">
        <v>1023</v>
      </c>
      <c r="C1765" t="s">
        <v>1097</v>
      </c>
      <c r="D1765" s="2">
        <v>722560</v>
      </c>
      <c r="E1765" t="s">
        <v>13</v>
      </c>
      <c r="F1765">
        <v>31.6189</v>
      </c>
      <c r="G1765">
        <v>-97.228300000000004</v>
      </c>
      <c r="H1765">
        <v>-6</v>
      </c>
      <c r="I1765">
        <v>152.4</v>
      </c>
      <c r="J1765" t="str">
        <f>HYPERLINK("https://climate.onebuilding.org/WMO_Region_4_North_and_Central_America/USA_United_States_of_America/TX_Texas/USA_TX_Waco.Rgnl.AP.722560_US.Normals.1981-2010.zip")</f>
        <v>https://climate.onebuilding.org/WMO_Region_4_North_and_Central_America/USA_United_States_of_America/TX_Texas/USA_TX_Waco.Rgnl.AP.722560_US.Normals.1981-2010.zip</v>
      </c>
    </row>
    <row r="1766" spans="1:10" x14ac:dyDescent="0.25">
      <c r="A1766" t="s">
        <v>35</v>
      </c>
      <c r="B1766" t="s">
        <v>1023</v>
      </c>
      <c r="C1766" t="s">
        <v>1097</v>
      </c>
      <c r="D1766" s="2">
        <v>722560</v>
      </c>
      <c r="E1766" t="s">
        <v>13</v>
      </c>
      <c r="F1766">
        <v>31.6189</v>
      </c>
      <c r="G1766">
        <v>-97.228300000000004</v>
      </c>
      <c r="H1766">
        <v>-6</v>
      </c>
      <c r="I1766">
        <v>152.4</v>
      </c>
      <c r="J1766" t="str">
        <f>HYPERLINK("https://climate.onebuilding.org/WMO_Region_4_North_and_Central_America/USA_United_States_of_America/TX_Texas/USA_TX_Waco.Rgnl.AP.722560_US.Normals.1991-2020.zip")</f>
        <v>https://climate.onebuilding.org/WMO_Region_4_North_and_Central_America/USA_United_States_of_America/TX_Texas/USA_TX_Waco.Rgnl.AP.722560_US.Normals.1991-2020.zip</v>
      </c>
    </row>
    <row r="1767" spans="1:10" x14ac:dyDescent="0.25">
      <c r="A1767" t="s">
        <v>35</v>
      </c>
      <c r="B1767" t="s">
        <v>1023</v>
      </c>
      <c r="C1767" t="s">
        <v>1097</v>
      </c>
      <c r="D1767" s="2">
        <v>722560</v>
      </c>
      <c r="E1767" t="s">
        <v>13</v>
      </c>
      <c r="F1767">
        <v>31.6189</v>
      </c>
      <c r="G1767">
        <v>-97.228300000000004</v>
      </c>
      <c r="H1767">
        <v>-6</v>
      </c>
      <c r="I1767">
        <v>152.4</v>
      </c>
      <c r="J1767" t="str">
        <f>HYPERLINK("https://climate.onebuilding.org/WMO_Region_4_North_and_Central_America/USA_United_States_of_America/TX_Texas/USA_TX_Waco.Rgnl.AP.722560_US.Normals.2006-2020.zip")</f>
        <v>https://climate.onebuilding.org/WMO_Region_4_North_and_Central_America/USA_United_States_of_America/TX_Texas/USA_TX_Waco.Rgnl.AP.722560_US.Normals.2006-2020.zip</v>
      </c>
    </row>
    <row r="1768" spans="1:10" x14ac:dyDescent="0.25">
      <c r="A1768" t="s">
        <v>35</v>
      </c>
      <c r="B1768" t="s">
        <v>1023</v>
      </c>
      <c r="C1768" t="s">
        <v>1098</v>
      </c>
      <c r="D1768" s="2">
        <v>723510</v>
      </c>
      <c r="E1768" t="s">
        <v>13</v>
      </c>
      <c r="F1768">
        <v>33.9786</v>
      </c>
      <c r="G1768">
        <v>-98.492800000000003</v>
      </c>
      <c r="H1768">
        <v>-7</v>
      </c>
      <c r="I1768">
        <v>310</v>
      </c>
      <c r="J1768" t="str">
        <f>HYPERLINK("https://climate.onebuilding.org/WMO_Region_4_North_and_Central_America/USA_United_States_of_America/TX_Texas/USA_TX_Wichita.Falls.Muni.AP-Sheppard.AFB.723510_US.Normals.1981-2010.zip")</f>
        <v>https://climate.onebuilding.org/WMO_Region_4_North_and_Central_America/USA_United_States_of_America/TX_Texas/USA_TX_Wichita.Falls.Muni.AP-Sheppard.AFB.723510_US.Normals.1981-2010.zip</v>
      </c>
    </row>
    <row r="1769" spans="1:10" x14ac:dyDescent="0.25">
      <c r="A1769" t="s">
        <v>35</v>
      </c>
      <c r="B1769" t="s">
        <v>1023</v>
      </c>
      <c r="C1769" t="s">
        <v>1098</v>
      </c>
      <c r="D1769" s="2">
        <v>723510</v>
      </c>
      <c r="E1769" t="s">
        <v>13</v>
      </c>
      <c r="F1769">
        <v>33.9786</v>
      </c>
      <c r="G1769">
        <v>-98.492800000000003</v>
      </c>
      <c r="H1769">
        <v>-7</v>
      </c>
      <c r="I1769">
        <v>310</v>
      </c>
      <c r="J1769" t="str">
        <f>HYPERLINK("https://climate.onebuilding.org/WMO_Region_4_North_and_Central_America/USA_United_States_of_America/TX_Texas/USA_TX_Wichita.Falls.Muni.AP-Sheppard.AFB.723510_US.Normals.1991-2020.zip")</f>
        <v>https://climate.onebuilding.org/WMO_Region_4_North_and_Central_America/USA_United_States_of_America/TX_Texas/USA_TX_Wichita.Falls.Muni.AP-Sheppard.AFB.723510_US.Normals.1991-2020.zip</v>
      </c>
    </row>
    <row r="1770" spans="1:10" x14ac:dyDescent="0.25">
      <c r="A1770" t="s">
        <v>35</v>
      </c>
      <c r="B1770" t="s">
        <v>1023</v>
      </c>
      <c r="C1770" t="s">
        <v>1098</v>
      </c>
      <c r="D1770" s="2">
        <v>723510</v>
      </c>
      <c r="E1770" t="s">
        <v>13</v>
      </c>
      <c r="F1770">
        <v>33.9786</v>
      </c>
      <c r="G1770">
        <v>-98.492800000000003</v>
      </c>
      <c r="H1770">
        <v>-7</v>
      </c>
      <c r="I1770">
        <v>310</v>
      </c>
      <c r="J1770" t="str">
        <f>HYPERLINK("https://climate.onebuilding.org/WMO_Region_4_North_and_Central_America/USA_United_States_of_America/TX_Texas/USA_TX_Wichita.Falls.Muni.AP-Sheppard.AFB.723510_US.Normals.2006-2020.zip")</f>
        <v>https://climate.onebuilding.org/WMO_Region_4_North_and_Central_America/USA_United_States_of_America/TX_Texas/USA_TX_Wichita.Falls.Muni.AP-Sheppard.AFB.723510_US.Normals.2006-2020.zip</v>
      </c>
    </row>
    <row r="1771" spans="1:10" x14ac:dyDescent="0.25">
      <c r="A1771" t="s">
        <v>35</v>
      </c>
      <c r="B1771" t="s">
        <v>1023</v>
      </c>
      <c r="C1771" t="s">
        <v>1099</v>
      </c>
      <c r="D1771" s="2">
        <v>722656</v>
      </c>
      <c r="E1771" t="s">
        <v>13</v>
      </c>
      <c r="F1771">
        <v>31.78</v>
      </c>
      <c r="G1771">
        <v>-103.2017</v>
      </c>
      <c r="H1771">
        <v>-7</v>
      </c>
      <c r="I1771">
        <v>855.6</v>
      </c>
      <c r="J1771" t="str">
        <f>HYPERLINK("https://climate.onebuilding.org/WMO_Region_4_North_and_Central_America/USA_United_States_of_America/TX_Texas/USA_TX_Wink-Winkler.County.AP.722656_US.Normals.1991-2020.zip")</f>
        <v>https://climate.onebuilding.org/WMO_Region_4_North_and_Central_America/USA_United_States_of_America/TX_Texas/USA_TX_Wink-Winkler.County.AP.722656_US.Normals.1991-2020.zip</v>
      </c>
    </row>
    <row r="1772" spans="1:10" x14ac:dyDescent="0.25">
      <c r="A1772" t="s">
        <v>35</v>
      </c>
      <c r="B1772" t="s">
        <v>1023</v>
      </c>
      <c r="C1772" t="s">
        <v>1099</v>
      </c>
      <c r="D1772" s="2">
        <v>722656</v>
      </c>
      <c r="E1772" t="s">
        <v>13</v>
      </c>
      <c r="F1772">
        <v>31.78</v>
      </c>
      <c r="G1772">
        <v>-103.2017</v>
      </c>
      <c r="H1772">
        <v>-7</v>
      </c>
      <c r="I1772">
        <v>855.6</v>
      </c>
      <c r="J1772" t="str">
        <f>HYPERLINK("https://climate.onebuilding.org/WMO_Region_4_North_and_Central_America/USA_United_States_of_America/TX_Texas/USA_TX_Wink-Winkler.County.AP.722656_US.Normals.2006-2020.zip")</f>
        <v>https://climate.onebuilding.org/WMO_Region_4_North_and_Central_America/USA_United_States_of_America/TX_Texas/USA_TX_Wink-Winkler.County.AP.722656_US.Normals.2006-2020.zip</v>
      </c>
    </row>
    <row r="1773" spans="1:10" x14ac:dyDescent="0.25">
      <c r="A1773" t="s">
        <v>35</v>
      </c>
      <c r="B1773" t="s">
        <v>1100</v>
      </c>
      <c r="C1773" t="s">
        <v>1101</v>
      </c>
      <c r="D1773" s="2">
        <v>724756</v>
      </c>
      <c r="E1773" t="s">
        <v>13</v>
      </c>
      <c r="F1773">
        <v>37.706400000000002</v>
      </c>
      <c r="G1773">
        <v>-112.1456</v>
      </c>
      <c r="H1773">
        <v>-7</v>
      </c>
      <c r="I1773">
        <v>2312.1999999999998</v>
      </c>
      <c r="J1773" t="str">
        <f>HYPERLINK("https://climate.onebuilding.org/WMO_Region_4_North_and_Central_America/USA_United_States_of_America/UT_Utah/USA_UT_Bryce.Canyon.AP.724756_US.Normals.2006-2020.zip")</f>
        <v>https://climate.onebuilding.org/WMO_Region_4_North_and_Central_America/USA_United_States_of_America/UT_Utah/USA_UT_Bryce.Canyon.AP.724756_US.Normals.2006-2020.zip</v>
      </c>
    </row>
    <row r="1774" spans="1:10" x14ac:dyDescent="0.25">
      <c r="A1774" t="s">
        <v>35</v>
      </c>
      <c r="B1774" t="s">
        <v>1100</v>
      </c>
      <c r="C1774" t="s">
        <v>1102</v>
      </c>
      <c r="D1774" s="2">
        <v>755710</v>
      </c>
      <c r="E1774" t="s">
        <v>13</v>
      </c>
      <c r="F1774">
        <v>38.302799999999998</v>
      </c>
      <c r="G1774">
        <v>-111.2936</v>
      </c>
      <c r="H1774">
        <v>-7</v>
      </c>
      <c r="I1774">
        <v>1891</v>
      </c>
      <c r="J1774" t="str">
        <f>HYPERLINK("https://climate.onebuilding.org/WMO_Region_4_North_and_Central_America/USA_United_States_of_America/UT_Utah/USA_UT_Capitol.Reef.Natl.Park.755710_US.Normals.2006-2020.zip")</f>
        <v>https://climate.onebuilding.org/WMO_Region_4_North_and_Central_America/USA_United_States_of_America/UT_Utah/USA_UT_Capitol.Reef.Natl.Park.755710_US.Normals.2006-2020.zip</v>
      </c>
    </row>
    <row r="1775" spans="1:10" x14ac:dyDescent="0.25">
      <c r="A1775" t="s">
        <v>35</v>
      </c>
      <c r="B1775" t="s">
        <v>1100</v>
      </c>
      <c r="C1775" t="s">
        <v>1103</v>
      </c>
      <c r="D1775" s="2">
        <v>724755</v>
      </c>
      <c r="E1775" t="s">
        <v>13</v>
      </c>
      <c r="F1775">
        <v>37.708599999999997</v>
      </c>
      <c r="G1775">
        <v>-113.09439999999999</v>
      </c>
      <c r="H1775">
        <v>-8</v>
      </c>
      <c r="I1775">
        <v>1702.6</v>
      </c>
      <c r="J1775" t="str">
        <f>HYPERLINK("https://climate.onebuilding.org/WMO_Region_4_North_and_Central_America/USA_United_States_of_America/UT_Utah/USA_UT_Cedar.City.Rgnl.AP.724755_US.Normals.1981-2010.zip")</f>
        <v>https://climate.onebuilding.org/WMO_Region_4_North_and_Central_America/USA_United_States_of_America/UT_Utah/USA_UT_Cedar.City.Rgnl.AP.724755_US.Normals.1981-2010.zip</v>
      </c>
    </row>
    <row r="1776" spans="1:10" x14ac:dyDescent="0.25">
      <c r="A1776" t="s">
        <v>35</v>
      </c>
      <c r="B1776" t="s">
        <v>1100</v>
      </c>
      <c r="C1776" t="s">
        <v>1103</v>
      </c>
      <c r="D1776" s="2">
        <v>724755</v>
      </c>
      <c r="E1776" t="s">
        <v>13</v>
      </c>
      <c r="F1776">
        <v>37.708599999999997</v>
      </c>
      <c r="G1776">
        <v>-113.09439999999999</v>
      </c>
      <c r="H1776">
        <v>-8</v>
      </c>
      <c r="I1776">
        <v>1702.6</v>
      </c>
      <c r="J1776" t="str">
        <f>HYPERLINK("https://climate.onebuilding.org/WMO_Region_4_North_and_Central_America/USA_United_States_of_America/UT_Utah/USA_UT_Cedar.City.Rgnl.AP.724755_US.Normals.1991-2020.zip")</f>
        <v>https://climate.onebuilding.org/WMO_Region_4_North_and_Central_America/USA_United_States_of_America/UT_Utah/USA_UT_Cedar.City.Rgnl.AP.724755_US.Normals.1991-2020.zip</v>
      </c>
    </row>
    <row r="1777" spans="1:10" x14ac:dyDescent="0.25">
      <c r="A1777" t="s">
        <v>35</v>
      </c>
      <c r="B1777" t="s">
        <v>1100</v>
      </c>
      <c r="C1777" t="s">
        <v>1103</v>
      </c>
      <c r="D1777" s="2">
        <v>724755</v>
      </c>
      <c r="E1777" t="s">
        <v>13</v>
      </c>
      <c r="F1777">
        <v>37.708599999999997</v>
      </c>
      <c r="G1777">
        <v>-113.09439999999999</v>
      </c>
      <c r="H1777">
        <v>-8</v>
      </c>
      <c r="I1777">
        <v>1702.6</v>
      </c>
      <c r="J1777" t="str">
        <f>HYPERLINK("https://climate.onebuilding.org/WMO_Region_4_North_and_Central_America/USA_United_States_of_America/UT_Utah/USA_UT_Cedar.City.Rgnl.AP.724755_US.Normals.2006-2020.zip")</f>
        <v>https://climate.onebuilding.org/WMO_Region_4_North_and_Central_America/USA_United_States_of_America/UT_Utah/USA_UT_Cedar.City.Rgnl.AP.724755_US.Normals.2006-2020.zip</v>
      </c>
    </row>
    <row r="1778" spans="1:10" x14ac:dyDescent="0.25">
      <c r="A1778" t="s">
        <v>35</v>
      </c>
      <c r="B1778" t="s">
        <v>1100</v>
      </c>
      <c r="C1778" t="s">
        <v>1104</v>
      </c>
      <c r="D1778" s="2">
        <v>724796</v>
      </c>
      <c r="E1778" t="s">
        <v>13</v>
      </c>
      <c r="F1778">
        <v>41.787199999999999</v>
      </c>
      <c r="G1778">
        <v>-111.8533</v>
      </c>
      <c r="H1778">
        <v>-7</v>
      </c>
      <c r="I1778">
        <v>1357.6</v>
      </c>
      <c r="J1778" t="str">
        <f>HYPERLINK("https://climate.onebuilding.org/WMO_Region_4_North_and_Central_America/USA_United_States_of_America/UT_Utah/USA_UT_Logan-Cache.AP.724796_US.Normals.2006-2020.zip")</f>
        <v>https://climate.onebuilding.org/WMO_Region_4_North_and_Central_America/USA_United_States_of_America/UT_Utah/USA_UT_Logan-Cache.AP.724796_US.Normals.2006-2020.zip</v>
      </c>
    </row>
    <row r="1779" spans="1:10" x14ac:dyDescent="0.25">
      <c r="A1779" t="s">
        <v>35</v>
      </c>
      <c r="B1779" t="s">
        <v>1100</v>
      </c>
      <c r="C1779" t="s">
        <v>1105</v>
      </c>
      <c r="D1779" s="2">
        <v>724750</v>
      </c>
      <c r="E1779" t="s">
        <v>13</v>
      </c>
      <c r="F1779">
        <v>38.416699999999999</v>
      </c>
      <c r="G1779">
        <v>-113.0167</v>
      </c>
      <c r="H1779">
        <v>-8</v>
      </c>
      <c r="I1779">
        <v>1536.2</v>
      </c>
      <c r="J1779" t="str">
        <f>HYPERLINK("https://climate.onebuilding.org/WMO_Region_4_North_and_Central_America/USA_United_States_of_America/UT_Utah/USA_UT_Milford.Muni.AP.724750_US.Normals.2006-2020.zip")</f>
        <v>https://climate.onebuilding.org/WMO_Region_4_North_and_Central_America/USA_United_States_of_America/UT_Utah/USA_UT_Milford.Muni.AP.724750_US.Normals.2006-2020.zip</v>
      </c>
    </row>
    <row r="1780" spans="1:10" x14ac:dyDescent="0.25">
      <c r="A1780" t="s">
        <v>35</v>
      </c>
      <c r="B1780" t="s">
        <v>1100</v>
      </c>
      <c r="C1780" t="s">
        <v>1106</v>
      </c>
      <c r="D1780" s="2">
        <v>724776</v>
      </c>
      <c r="E1780" t="s">
        <v>13</v>
      </c>
      <c r="F1780">
        <v>38.755000000000003</v>
      </c>
      <c r="G1780">
        <v>-109.7542</v>
      </c>
      <c r="H1780">
        <v>-7</v>
      </c>
      <c r="I1780">
        <v>1390.2</v>
      </c>
      <c r="J1780" t="str">
        <f>HYPERLINK("https://climate.onebuilding.org/WMO_Region_4_North_and_Central_America/USA_United_States_of_America/UT_Utah/USA_UT_Moab-Canyonlands.Field.AP.724776_US.Normals.2006-2020.zip")</f>
        <v>https://climate.onebuilding.org/WMO_Region_4_North_and_Central_America/USA_United_States_of_America/UT_Utah/USA_UT_Moab-Canyonlands.Field.AP.724776_US.Normals.2006-2020.zip</v>
      </c>
    </row>
    <row r="1781" spans="1:10" x14ac:dyDescent="0.25">
      <c r="A1781" t="s">
        <v>35</v>
      </c>
      <c r="B1781" t="s">
        <v>1100</v>
      </c>
      <c r="C1781" t="s">
        <v>1107</v>
      </c>
      <c r="D1781" s="2">
        <v>725755</v>
      </c>
      <c r="E1781" t="s">
        <v>13</v>
      </c>
      <c r="F1781">
        <v>41.116700000000002</v>
      </c>
      <c r="G1781">
        <v>-111.9667</v>
      </c>
      <c r="H1781">
        <v>-7</v>
      </c>
      <c r="I1781">
        <v>1459.1</v>
      </c>
      <c r="J1781" t="str">
        <f>HYPERLINK("https://climate.onebuilding.org/WMO_Region_4_North_and_Central_America/USA_United_States_of_America/UT_Utah/USA_UT_Ogden-Hill.AFB.725755_US.Normals.1981-2010.zip")</f>
        <v>https://climate.onebuilding.org/WMO_Region_4_North_and_Central_America/USA_United_States_of_America/UT_Utah/USA_UT_Ogden-Hill.AFB.725755_US.Normals.1981-2010.zip</v>
      </c>
    </row>
    <row r="1782" spans="1:10" x14ac:dyDescent="0.25">
      <c r="A1782" t="s">
        <v>35</v>
      </c>
      <c r="B1782" t="s">
        <v>1100</v>
      </c>
      <c r="C1782" t="s">
        <v>1107</v>
      </c>
      <c r="D1782" s="2">
        <v>725755</v>
      </c>
      <c r="E1782" t="s">
        <v>13</v>
      </c>
      <c r="F1782">
        <v>41.116700000000002</v>
      </c>
      <c r="G1782">
        <v>-111.9667</v>
      </c>
      <c r="H1782">
        <v>-7</v>
      </c>
      <c r="I1782">
        <v>1459.1</v>
      </c>
      <c r="J1782" t="str">
        <f>HYPERLINK("https://climate.onebuilding.org/WMO_Region_4_North_and_Central_America/USA_United_States_of_America/UT_Utah/USA_UT_Ogden-Hill.AFB.725755_US.Normals.1991-2020.zip")</f>
        <v>https://climate.onebuilding.org/WMO_Region_4_North_and_Central_America/USA_United_States_of_America/UT_Utah/USA_UT_Ogden-Hill.AFB.725755_US.Normals.1991-2020.zip</v>
      </c>
    </row>
    <row r="1783" spans="1:10" x14ac:dyDescent="0.25">
      <c r="A1783" t="s">
        <v>35</v>
      </c>
      <c r="B1783" t="s">
        <v>1100</v>
      </c>
      <c r="C1783" t="s">
        <v>1107</v>
      </c>
      <c r="D1783" s="2">
        <v>725755</v>
      </c>
      <c r="E1783" t="s">
        <v>13</v>
      </c>
      <c r="F1783">
        <v>41.116700000000002</v>
      </c>
      <c r="G1783">
        <v>-111.9667</v>
      </c>
      <c r="H1783">
        <v>-7</v>
      </c>
      <c r="I1783">
        <v>1459.1</v>
      </c>
      <c r="J1783" t="str">
        <f>HYPERLINK("https://climate.onebuilding.org/WMO_Region_4_North_and_Central_America/USA_United_States_of_America/UT_Utah/USA_UT_Ogden-Hill.AFB.725755_US.Normals.2006-2020.zip")</f>
        <v>https://climate.onebuilding.org/WMO_Region_4_North_and_Central_America/USA_United_States_of_America/UT_Utah/USA_UT_Ogden-Hill.AFB.725755_US.Normals.2006-2020.zip</v>
      </c>
    </row>
    <row r="1784" spans="1:10" x14ac:dyDescent="0.25">
      <c r="A1784" t="s">
        <v>35</v>
      </c>
      <c r="B1784" t="s">
        <v>1100</v>
      </c>
      <c r="C1784" t="s">
        <v>1108</v>
      </c>
      <c r="D1784" s="2">
        <v>725750</v>
      </c>
      <c r="E1784" t="s">
        <v>13</v>
      </c>
      <c r="F1784">
        <v>41.196100000000001</v>
      </c>
      <c r="G1784">
        <v>-112.01139999999999</v>
      </c>
      <c r="H1784">
        <v>-7</v>
      </c>
      <c r="I1784">
        <v>1362.5</v>
      </c>
      <c r="J1784" t="str">
        <f>HYPERLINK("https://climate.onebuilding.org/WMO_Region_4_North_and_Central_America/USA_United_States_of_America/UT_Utah/USA_UT_Ogden-Hinckley.AP.725750_US.Normals.2006-2020.zip")</f>
        <v>https://climate.onebuilding.org/WMO_Region_4_North_and_Central_America/USA_United_States_of_America/UT_Utah/USA_UT_Ogden-Hinckley.AP.725750_US.Normals.2006-2020.zip</v>
      </c>
    </row>
    <row r="1785" spans="1:10" x14ac:dyDescent="0.25">
      <c r="A1785" t="s">
        <v>35</v>
      </c>
      <c r="B1785" t="s">
        <v>1100</v>
      </c>
      <c r="C1785" t="s">
        <v>1109</v>
      </c>
      <c r="D1785" s="2">
        <v>724700</v>
      </c>
      <c r="E1785" t="s">
        <v>13</v>
      </c>
      <c r="F1785">
        <v>39.609200000000001</v>
      </c>
      <c r="G1785">
        <v>-110.7547</v>
      </c>
      <c r="H1785">
        <v>-7</v>
      </c>
      <c r="I1785">
        <v>1804.7</v>
      </c>
      <c r="J1785" t="str">
        <f>HYPERLINK("https://climate.onebuilding.org/WMO_Region_4_North_and_Central_America/USA_United_States_of_America/UT_Utah/USA_UT_Price-Carbon.County.Rgnl.AP-Davis.Field.724700_US.Normals.1991-2020.zip")</f>
        <v>https://climate.onebuilding.org/WMO_Region_4_North_and_Central_America/USA_United_States_of_America/UT_Utah/USA_UT_Price-Carbon.County.Rgnl.AP-Davis.Field.724700_US.Normals.1991-2020.zip</v>
      </c>
    </row>
    <row r="1786" spans="1:10" x14ac:dyDescent="0.25">
      <c r="A1786" t="s">
        <v>35</v>
      </c>
      <c r="B1786" t="s">
        <v>1100</v>
      </c>
      <c r="C1786" t="s">
        <v>1109</v>
      </c>
      <c r="D1786" s="2">
        <v>724700</v>
      </c>
      <c r="E1786" t="s">
        <v>13</v>
      </c>
      <c r="F1786">
        <v>39.609200000000001</v>
      </c>
      <c r="G1786">
        <v>-110.7547</v>
      </c>
      <c r="H1786">
        <v>-7</v>
      </c>
      <c r="I1786">
        <v>1804.7</v>
      </c>
      <c r="J1786" t="str">
        <f>HYPERLINK("https://climate.onebuilding.org/WMO_Region_4_North_and_Central_America/USA_United_States_of_America/UT_Utah/USA_UT_Price-Carbon.County.Rgnl.AP-Davis.Field.724700_US.Normals.2006-2020.zip")</f>
        <v>https://climate.onebuilding.org/WMO_Region_4_North_and_Central_America/USA_United_States_of_America/UT_Utah/USA_UT_Price-Carbon.County.Rgnl.AP-Davis.Field.724700_US.Normals.2006-2020.zip</v>
      </c>
    </row>
    <row r="1787" spans="1:10" x14ac:dyDescent="0.25">
      <c r="A1787" t="s">
        <v>35</v>
      </c>
      <c r="B1787" t="s">
        <v>1100</v>
      </c>
      <c r="C1787" t="s">
        <v>1110</v>
      </c>
      <c r="D1787" s="2">
        <v>725770</v>
      </c>
      <c r="E1787" t="s">
        <v>13</v>
      </c>
      <c r="F1787">
        <v>41.616399999999999</v>
      </c>
      <c r="G1787">
        <v>-112.5436</v>
      </c>
      <c r="H1787">
        <v>-8</v>
      </c>
      <c r="I1787">
        <v>1509.1</v>
      </c>
      <c r="J1787" t="str">
        <f>HYPERLINK("https://climate.onebuilding.org/WMO_Region_4_North_and_Central_America/USA_United_States_of_America/UT_Utah/USA_UT_Promontory-Golden.Spike.Natl.Historic.Site.725770_US.Normals.2006-2020.zip")</f>
        <v>https://climate.onebuilding.org/WMO_Region_4_North_and_Central_America/USA_United_States_of_America/UT_Utah/USA_UT_Promontory-Golden.Spike.Natl.Historic.Site.725770_US.Normals.2006-2020.zip</v>
      </c>
    </row>
    <row r="1788" spans="1:10" x14ac:dyDescent="0.25">
      <c r="A1788" t="s">
        <v>35</v>
      </c>
      <c r="B1788" t="s">
        <v>1100</v>
      </c>
      <c r="C1788" t="s">
        <v>1111</v>
      </c>
      <c r="D1788" s="2">
        <v>725720</v>
      </c>
      <c r="E1788" t="s">
        <v>13</v>
      </c>
      <c r="F1788">
        <v>40.778100000000002</v>
      </c>
      <c r="G1788">
        <v>-111.96939999999999</v>
      </c>
      <c r="H1788">
        <v>-7</v>
      </c>
      <c r="I1788">
        <v>1287.8</v>
      </c>
      <c r="J1788" t="str">
        <f>HYPERLINK("https://climate.onebuilding.org/WMO_Region_4_North_and_Central_America/USA_United_States_of_America/UT_Utah/USA_UT_Salt.Lake.City.Intl.AP.725720_US.Normals.1981-2010.zip")</f>
        <v>https://climate.onebuilding.org/WMO_Region_4_North_and_Central_America/USA_United_States_of_America/UT_Utah/USA_UT_Salt.Lake.City.Intl.AP.725720_US.Normals.1981-2010.zip</v>
      </c>
    </row>
    <row r="1789" spans="1:10" x14ac:dyDescent="0.25">
      <c r="A1789" t="s">
        <v>35</v>
      </c>
      <c r="B1789" t="s">
        <v>1100</v>
      </c>
      <c r="C1789" t="s">
        <v>1111</v>
      </c>
      <c r="D1789" s="2">
        <v>725720</v>
      </c>
      <c r="E1789" t="s">
        <v>13</v>
      </c>
      <c r="F1789">
        <v>40.778100000000002</v>
      </c>
      <c r="G1789">
        <v>-111.96939999999999</v>
      </c>
      <c r="H1789">
        <v>-7</v>
      </c>
      <c r="I1789">
        <v>1287.8</v>
      </c>
      <c r="J1789" t="str">
        <f>HYPERLINK("https://climate.onebuilding.org/WMO_Region_4_North_and_Central_America/USA_United_States_of_America/UT_Utah/USA_UT_Salt.Lake.City.Intl.AP.725720_US.Normals.1991-2020.zip")</f>
        <v>https://climate.onebuilding.org/WMO_Region_4_North_and_Central_America/USA_United_States_of_America/UT_Utah/USA_UT_Salt.Lake.City.Intl.AP.725720_US.Normals.1991-2020.zip</v>
      </c>
    </row>
    <row r="1790" spans="1:10" x14ac:dyDescent="0.25">
      <c r="A1790" t="s">
        <v>35</v>
      </c>
      <c r="B1790" t="s">
        <v>1100</v>
      </c>
      <c r="C1790" t="s">
        <v>1111</v>
      </c>
      <c r="D1790" s="2">
        <v>725720</v>
      </c>
      <c r="E1790" t="s">
        <v>13</v>
      </c>
      <c r="F1790">
        <v>40.778100000000002</v>
      </c>
      <c r="G1790">
        <v>-111.96939999999999</v>
      </c>
      <c r="H1790">
        <v>-7</v>
      </c>
      <c r="I1790">
        <v>1287.8</v>
      </c>
      <c r="J1790" t="str">
        <f>HYPERLINK("https://climate.onebuilding.org/WMO_Region_4_North_and_Central_America/USA_United_States_of_America/UT_Utah/USA_UT_Salt.Lake.City.Intl.AP.725720_US.Normals.2006-2020.zip")</f>
        <v>https://climate.onebuilding.org/WMO_Region_4_North_and_Central_America/USA_United_States_of_America/UT_Utah/USA_UT_Salt.Lake.City.Intl.AP.725720_US.Normals.2006-2020.zip</v>
      </c>
    </row>
    <row r="1791" spans="1:10" x14ac:dyDescent="0.25">
      <c r="A1791" t="s">
        <v>35</v>
      </c>
      <c r="B1791" t="s">
        <v>1100</v>
      </c>
      <c r="C1791" t="s">
        <v>1112</v>
      </c>
      <c r="D1791" s="2">
        <v>725705</v>
      </c>
      <c r="E1791" t="s">
        <v>13</v>
      </c>
      <c r="F1791">
        <v>40.4422</v>
      </c>
      <c r="G1791">
        <v>-109.51439999999999</v>
      </c>
      <c r="H1791">
        <v>-7</v>
      </c>
      <c r="I1791">
        <v>1603.2</v>
      </c>
      <c r="J1791" t="str">
        <f>HYPERLINK("https://climate.onebuilding.org/WMO_Region_4_North_and_Central_America/USA_United_States_of_America/UT_Utah/USA_UT_Vernal.Rgnl.AP.725705_US.Normals.2006-2020.zip")</f>
        <v>https://climate.onebuilding.org/WMO_Region_4_North_and_Central_America/USA_United_States_of_America/UT_Utah/USA_UT_Vernal.Rgnl.AP.725705_US.Normals.2006-2020.zip</v>
      </c>
    </row>
    <row r="1792" spans="1:10" x14ac:dyDescent="0.25">
      <c r="A1792" t="s">
        <v>35</v>
      </c>
      <c r="B1792" t="s">
        <v>1100</v>
      </c>
      <c r="C1792" t="s">
        <v>1113</v>
      </c>
      <c r="D1792" s="2">
        <v>725810</v>
      </c>
      <c r="E1792" t="s">
        <v>13</v>
      </c>
      <c r="F1792">
        <v>40.720599999999997</v>
      </c>
      <c r="G1792">
        <v>-114.03579999999999</v>
      </c>
      <c r="H1792">
        <v>-8</v>
      </c>
      <c r="I1792">
        <v>1291.4000000000001</v>
      </c>
      <c r="J1792" t="str">
        <f>HYPERLINK("https://climate.onebuilding.org/WMO_Region_4_North_and_Central_America/USA_United_States_of_America/UT_Utah/USA_UT_Wendover.AP.725810_US.Normals.2006-2020.zip")</f>
        <v>https://climate.onebuilding.org/WMO_Region_4_North_and_Central_America/USA_United_States_of_America/UT_Utah/USA_UT_Wendover.AP.725810_US.Normals.2006-2020.zip</v>
      </c>
    </row>
    <row r="1793" spans="1:10" x14ac:dyDescent="0.25">
      <c r="A1793" t="s">
        <v>35</v>
      </c>
      <c r="B1793" t="s">
        <v>1114</v>
      </c>
      <c r="C1793" t="s">
        <v>1115</v>
      </c>
      <c r="D1793" s="2">
        <v>724050</v>
      </c>
      <c r="E1793" t="s">
        <v>13</v>
      </c>
      <c r="F1793">
        <v>38.848300000000002</v>
      </c>
      <c r="G1793">
        <v>-77.034199999999998</v>
      </c>
      <c r="H1793">
        <v>-5</v>
      </c>
      <c r="I1793">
        <v>3</v>
      </c>
      <c r="J1793" t="str">
        <f>HYPERLINK("https://climate.onebuilding.org/WMO_Region_4_North_and_Central_America/USA_United_States_of_America/VA_Virginia/USA_VA_Arlington-Reagan.Washington.Natl.AP.724050_US.Normals.1981-2010.zip")</f>
        <v>https://climate.onebuilding.org/WMO_Region_4_North_and_Central_America/USA_United_States_of_America/VA_Virginia/USA_VA_Arlington-Reagan.Washington.Natl.AP.724050_US.Normals.1981-2010.zip</v>
      </c>
    </row>
    <row r="1794" spans="1:10" x14ac:dyDescent="0.25">
      <c r="A1794" t="s">
        <v>35</v>
      </c>
      <c r="B1794" t="s">
        <v>1114</v>
      </c>
      <c r="C1794" t="s">
        <v>1115</v>
      </c>
      <c r="D1794" s="2">
        <v>724050</v>
      </c>
      <c r="E1794" t="s">
        <v>13</v>
      </c>
      <c r="F1794">
        <v>38.848300000000002</v>
      </c>
      <c r="G1794">
        <v>-77.034199999999998</v>
      </c>
      <c r="H1794">
        <v>-5</v>
      </c>
      <c r="I1794">
        <v>3</v>
      </c>
      <c r="J1794" t="str">
        <f>HYPERLINK("https://climate.onebuilding.org/WMO_Region_4_North_and_Central_America/USA_United_States_of_America/VA_Virginia/USA_VA_Arlington-Reagan.Washington.Natl.AP.724050_US.Normals.1991-2020.zip")</f>
        <v>https://climate.onebuilding.org/WMO_Region_4_North_and_Central_America/USA_United_States_of_America/VA_Virginia/USA_VA_Arlington-Reagan.Washington.Natl.AP.724050_US.Normals.1991-2020.zip</v>
      </c>
    </row>
    <row r="1795" spans="1:10" x14ac:dyDescent="0.25">
      <c r="A1795" t="s">
        <v>35</v>
      </c>
      <c r="B1795" t="s">
        <v>1114</v>
      </c>
      <c r="C1795" t="s">
        <v>1115</v>
      </c>
      <c r="D1795" s="2">
        <v>724050</v>
      </c>
      <c r="E1795" t="s">
        <v>13</v>
      </c>
      <c r="F1795">
        <v>38.848300000000002</v>
      </c>
      <c r="G1795">
        <v>-77.034199999999998</v>
      </c>
      <c r="H1795">
        <v>-5</v>
      </c>
      <c r="I1795">
        <v>3</v>
      </c>
      <c r="J1795" t="str">
        <f>HYPERLINK("https://climate.onebuilding.org/WMO_Region_4_North_and_Central_America/USA_United_States_of_America/VA_Virginia/USA_VA_Arlington-Reagan.Washington.Natl.AP.724050_US.Normals.2006-2020.zip")</f>
        <v>https://climate.onebuilding.org/WMO_Region_4_North_and_Central_America/USA_United_States_of_America/VA_Virginia/USA_VA_Arlington-Reagan.Washington.Natl.AP.724050_US.Normals.2006-2020.zip</v>
      </c>
    </row>
    <row r="1796" spans="1:10" x14ac:dyDescent="0.25">
      <c r="A1796" t="s">
        <v>35</v>
      </c>
      <c r="B1796" t="s">
        <v>1114</v>
      </c>
      <c r="C1796" t="s">
        <v>1116</v>
      </c>
      <c r="D1796" s="2">
        <v>723084</v>
      </c>
      <c r="E1796" t="s">
        <v>13</v>
      </c>
      <c r="F1796">
        <v>37.708100000000002</v>
      </c>
      <c r="G1796">
        <v>-77.434399999999997</v>
      </c>
      <c r="H1796">
        <v>-5</v>
      </c>
      <c r="I1796">
        <v>62.5</v>
      </c>
      <c r="J1796" t="str">
        <f>HYPERLINK("https://climate.onebuilding.org/WMO_Region_4_North_and_Central_America/USA_United_States_of_America/VA_Virginia/USA_VA_Ashland-Hanover.County.Muni.AP.723084_US.Normals.2006-2020.zip")</f>
        <v>https://climate.onebuilding.org/WMO_Region_4_North_and_Central_America/USA_United_States_of_America/VA_Virginia/USA_VA_Ashland-Hanover.County.Muni.AP.723084_US.Normals.2006-2020.zip</v>
      </c>
    </row>
    <row r="1797" spans="1:10" x14ac:dyDescent="0.25">
      <c r="A1797" t="s">
        <v>35</v>
      </c>
      <c r="B1797" t="s">
        <v>1114</v>
      </c>
      <c r="C1797" t="s">
        <v>1117</v>
      </c>
      <c r="D1797" s="2">
        <v>724016</v>
      </c>
      <c r="E1797" t="s">
        <v>13</v>
      </c>
      <c r="F1797">
        <v>38.138599999999997</v>
      </c>
      <c r="G1797">
        <v>-78.453000000000003</v>
      </c>
      <c r="H1797">
        <v>-5</v>
      </c>
      <c r="I1797">
        <v>195.4</v>
      </c>
      <c r="J1797" t="str">
        <f>HYPERLINK("https://climate.onebuilding.org/WMO_Region_4_North_and_Central_America/USA_United_States_of_America/VA_Virginia/USA_VA_Charlottesville-Albemarle.AP.724016_US.Normals.2006-2020.zip")</f>
        <v>https://climate.onebuilding.org/WMO_Region_4_North_and_Central_America/USA_United_States_of_America/VA_Virginia/USA_VA_Charlottesville-Albemarle.AP.724016_US.Normals.2006-2020.zip</v>
      </c>
    </row>
    <row r="1798" spans="1:10" x14ac:dyDescent="0.25">
      <c r="A1798" t="s">
        <v>35</v>
      </c>
      <c r="B1798" t="s">
        <v>1114</v>
      </c>
      <c r="C1798" t="s">
        <v>1118</v>
      </c>
      <c r="D1798" s="2">
        <v>746010</v>
      </c>
      <c r="E1798" t="s">
        <v>13</v>
      </c>
      <c r="F1798">
        <v>37.997500000000002</v>
      </c>
      <c r="G1798">
        <v>-78.465599999999995</v>
      </c>
      <c r="H1798">
        <v>-5</v>
      </c>
      <c r="I1798">
        <v>358.7</v>
      </c>
      <c r="J1798" t="str">
        <f>HYPERLINK("https://climate.onebuilding.org/WMO_Region_4_North_and_Central_America/USA_United_States_of_America/VA_Virginia/USA_VA_Charlottesville-Monticello.746010_US.Normals.2006-2020.zip")</f>
        <v>https://climate.onebuilding.org/WMO_Region_4_North_and_Central_America/USA_United_States_of_America/VA_Virginia/USA_VA_Charlottesville-Monticello.746010_US.Normals.2006-2020.zip</v>
      </c>
    </row>
    <row r="1799" spans="1:10" x14ac:dyDescent="0.25">
      <c r="A1799" t="s">
        <v>35</v>
      </c>
      <c r="B1799" t="s">
        <v>1114</v>
      </c>
      <c r="C1799" t="s">
        <v>1119</v>
      </c>
      <c r="D1799" s="2">
        <v>724106</v>
      </c>
      <c r="E1799" t="s">
        <v>13</v>
      </c>
      <c r="F1799">
        <v>36.572800000000001</v>
      </c>
      <c r="G1799">
        <v>-79.336100000000002</v>
      </c>
      <c r="H1799">
        <v>-5</v>
      </c>
      <c r="I1799">
        <v>174</v>
      </c>
      <c r="J1799" t="str">
        <f>HYPERLINK("https://climate.onebuilding.org/WMO_Region_4_North_and_Central_America/USA_United_States_of_America/VA_Virginia/USA_VA_Danville.Rgnl.AP.724106_US.Normals.2006-2020.zip")</f>
        <v>https://climate.onebuilding.org/WMO_Region_4_North_and_Central_America/USA_United_States_of_America/VA_Virginia/USA_VA_Danville.Rgnl.AP.724106_US.Normals.2006-2020.zip</v>
      </c>
    </row>
    <row r="1800" spans="1:10" x14ac:dyDescent="0.25">
      <c r="A1800" t="s">
        <v>35</v>
      </c>
      <c r="B1800" t="s">
        <v>1114</v>
      </c>
      <c r="C1800" t="s">
        <v>1120</v>
      </c>
      <c r="D1800" s="2">
        <v>724030</v>
      </c>
      <c r="E1800" t="s">
        <v>13</v>
      </c>
      <c r="F1800">
        <v>38.940800000000003</v>
      </c>
      <c r="G1800">
        <v>-77.4636</v>
      </c>
      <c r="H1800">
        <v>-5</v>
      </c>
      <c r="I1800">
        <v>88.4</v>
      </c>
      <c r="J1800" t="str">
        <f>HYPERLINK("https://climate.onebuilding.org/WMO_Region_4_North_and_Central_America/USA_United_States_of_America/VA_Virginia/USA_VA_Dulles-Washington.Dulles.Intl.AP.724030_US.Normals.1981-2010.zip")</f>
        <v>https://climate.onebuilding.org/WMO_Region_4_North_and_Central_America/USA_United_States_of_America/VA_Virginia/USA_VA_Dulles-Washington.Dulles.Intl.AP.724030_US.Normals.1981-2010.zip</v>
      </c>
    </row>
    <row r="1801" spans="1:10" x14ac:dyDescent="0.25">
      <c r="A1801" t="s">
        <v>35</v>
      </c>
      <c r="B1801" t="s">
        <v>1114</v>
      </c>
      <c r="C1801" t="s">
        <v>1120</v>
      </c>
      <c r="D1801" s="2">
        <v>724030</v>
      </c>
      <c r="E1801" t="s">
        <v>13</v>
      </c>
      <c r="F1801">
        <v>38.940800000000003</v>
      </c>
      <c r="G1801">
        <v>-77.4636</v>
      </c>
      <c r="H1801">
        <v>-5</v>
      </c>
      <c r="I1801">
        <v>88.4</v>
      </c>
      <c r="J1801" t="str">
        <f>HYPERLINK("https://climate.onebuilding.org/WMO_Region_4_North_and_Central_America/USA_United_States_of_America/VA_Virginia/USA_VA_Dulles-Washington.Dulles.Intl.AP.724030_US.Normals.1991-2020.zip")</f>
        <v>https://climate.onebuilding.org/WMO_Region_4_North_and_Central_America/USA_United_States_of_America/VA_Virginia/USA_VA_Dulles-Washington.Dulles.Intl.AP.724030_US.Normals.1991-2020.zip</v>
      </c>
    </row>
    <row r="1802" spans="1:10" x14ac:dyDescent="0.25">
      <c r="A1802" t="s">
        <v>35</v>
      </c>
      <c r="B1802" t="s">
        <v>1114</v>
      </c>
      <c r="C1802" t="s">
        <v>1120</v>
      </c>
      <c r="D1802" s="2">
        <v>724030</v>
      </c>
      <c r="E1802" t="s">
        <v>13</v>
      </c>
      <c r="F1802">
        <v>38.940800000000003</v>
      </c>
      <c r="G1802">
        <v>-77.4636</v>
      </c>
      <c r="H1802">
        <v>-5</v>
      </c>
      <c r="I1802">
        <v>88.4</v>
      </c>
      <c r="J1802" t="str">
        <f>HYPERLINK("https://climate.onebuilding.org/WMO_Region_4_North_and_Central_America/USA_United_States_of_America/VA_Virginia/USA_VA_Dulles-Washington.Dulles.Intl.AP.724030_US.Normals.2006-2020.zip")</f>
        <v>https://climate.onebuilding.org/WMO_Region_4_North_and_Central_America/USA_United_States_of_America/VA_Virginia/USA_VA_Dulles-Washington.Dulles.Intl.AP.724030_US.Normals.2006-2020.zip</v>
      </c>
    </row>
    <row r="1803" spans="1:10" x14ac:dyDescent="0.25">
      <c r="A1803" t="s">
        <v>35</v>
      </c>
      <c r="B1803" t="s">
        <v>1114</v>
      </c>
      <c r="C1803" t="s">
        <v>1121</v>
      </c>
      <c r="D1803" s="2">
        <v>723087</v>
      </c>
      <c r="E1803" t="s">
        <v>13</v>
      </c>
      <c r="F1803">
        <v>37.133299999999998</v>
      </c>
      <c r="G1803">
        <v>-76.599999999999994</v>
      </c>
      <c r="H1803">
        <v>-5</v>
      </c>
      <c r="I1803">
        <v>7</v>
      </c>
      <c r="J1803" t="str">
        <f>HYPERLINK("https://climate.onebuilding.org/WMO_Region_4_North_and_Central_America/USA_United_States_of_America/VA_Virginia/USA_VA_Ft.Eustis-Felker.AAF.723087_US.Normals.2006-2020.zip")</f>
        <v>https://climate.onebuilding.org/WMO_Region_4_North_and_Central_America/USA_United_States_of_America/VA_Virginia/USA_VA_Ft.Eustis-Felker.AAF.723087_US.Normals.2006-2020.zip</v>
      </c>
    </row>
    <row r="1804" spans="1:10" x14ac:dyDescent="0.25">
      <c r="A1804" t="s">
        <v>35</v>
      </c>
      <c r="B1804" t="s">
        <v>1114</v>
      </c>
      <c r="C1804" t="s">
        <v>1122</v>
      </c>
      <c r="D1804" s="2">
        <v>745980</v>
      </c>
      <c r="E1804" t="s">
        <v>13</v>
      </c>
      <c r="F1804">
        <v>37.083300000000001</v>
      </c>
      <c r="G1804">
        <v>-76.349999999999994</v>
      </c>
      <c r="H1804">
        <v>-5</v>
      </c>
      <c r="I1804">
        <v>3</v>
      </c>
      <c r="J1804" t="str">
        <f>HYPERLINK("https://climate.onebuilding.org/WMO_Region_4_North_and_Central_America/USA_United_States_of_America/VA_Virginia/USA_VA_Hampton-JB.Langley-Eustis-Langley.Field.745980_US.Normals.1981-2010.zip")</f>
        <v>https://climate.onebuilding.org/WMO_Region_4_North_and_Central_America/USA_United_States_of_America/VA_Virginia/USA_VA_Hampton-JB.Langley-Eustis-Langley.Field.745980_US.Normals.1981-2010.zip</v>
      </c>
    </row>
    <row r="1805" spans="1:10" x14ac:dyDescent="0.25">
      <c r="A1805" t="s">
        <v>35</v>
      </c>
      <c r="B1805" t="s">
        <v>1114</v>
      </c>
      <c r="C1805" t="s">
        <v>1122</v>
      </c>
      <c r="D1805" s="2">
        <v>745980</v>
      </c>
      <c r="E1805" t="s">
        <v>13</v>
      </c>
      <c r="F1805">
        <v>37.083300000000001</v>
      </c>
      <c r="G1805">
        <v>-76.349999999999994</v>
      </c>
      <c r="H1805">
        <v>-5</v>
      </c>
      <c r="I1805">
        <v>3</v>
      </c>
      <c r="J1805" t="str">
        <f>HYPERLINK("https://climate.onebuilding.org/WMO_Region_4_North_and_Central_America/USA_United_States_of_America/VA_Virginia/USA_VA_Hampton-JB.Langley-Eustis-Langley.Field.745980_US.Normals.1991-2020.zip")</f>
        <v>https://climate.onebuilding.org/WMO_Region_4_North_and_Central_America/USA_United_States_of_America/VA_Virginia/USA_VA_Hampton-JB.Langley-Eustis-Langley.Field.745980_US.Normals.1991-2020.zip</v>
      </c>
    </row>
    <row r="1806" spans="1:10" x14ac:dyDescent="0.25">
      <c r="A1806" t="s">
        <v>35</v>
      </c>
      <c r="B1806" t="s">
        <v>1114</v>
      </c>
      <c r="C1806" t="s">
        <v>1122</v>
      </c>
      <c r="D1806" s="2">
        <v>745980</v>
      </c>
      <c r="E1806" t="s">
        <v>13</v>
      </c>
      <c r="F1806">
        <v>37.083300000000001</v>
      </c>
      <c r="G1806">
        <v>-76.349999999999994</v>
      </c>
      <c r="H1806">
        <v>-5</v>
      </c>
      <c r="I1806">
        <v>3</v>
      </c>
      <c r="J1806" t="str">
        <f>HYPERLINK("https://climate.onebuilding.org/WMO_Region_4_North_and_Central_America/USA_United_States_of_America/VA_Virginia/USA_VA_Hampton-JB.Langley-Eustis-Langley.Field.745980_US.Normals.2006-2020.zip")</f>
        <v>https://climate.onebuilding.org/WMO_Region_4_North_and_Central_America/USA_United_States_of_America/VA_Virginia/USA_VA_Hampton-JB.Langley-Eustis-Langley.Field.745980_US.Normals.2006-2020.zip</v>
      </c>
    </row>
    <row r="1807" spans="1:10" x14ac:dyDescent="0.25">
      <c r="A1807" t="s">
        <v>35</v>
      </c>
      <c r="B1807" t="s">
        <v>1114</v>
      </c>
      <c r="C1807" t="s">
        <v>1123</v>
      </c>
      <c r="D1807" s="2">
        <v>724037</v>
      </c>
      <c r="E1807" t="s">
        <v>13</v>
      </c>
      <c r="F1807">
        <v>38.716700000000003</v>
      </c>
      <c r="G1807">
        <v>-77.183300000000003</v>
      </c>
      <c r="H1807">
        <v>-5</v>
      </c>
      <c r="I1807">
        <v>27.1</v>
      </c>
      <c r="J1807" t="str">
        <f>HYPERLINK("https://climate.onebuilding.org/WMO_Region_4_North_and_Central_America/USA_United_States_of_America/VA_Virginia/USA_VA_Lorton-Ft.Belvoir-Davison.AAF.724037_US.Normals.2006-2020.zip")</f>
        <v>https://climate.onebuilding.org/WMO_Region_4_North_and_Central_America/USA_United_States_of_America/VA_Virginia/USA_VA_Lorton-Ft.Belvoir-Davison.AAF.724037_US.Normals.2006-2020.zip</v>
      </c>
    </row>
    <row r="1808" spans="1:10" x14ac:dyDescent="0.25">
      <c r="A1808" t="s">
        <v>35</v>
      </c>
      <c r="B1808" t="s">
        <v>1114</v>
      </c>
      <c r="C1808" t="s">
        <v>1124</v>
      </c>
      <c r="D1808" s="2">
        <v>724100</v>
      </c>
      <c r="E1808" t="s">
        <v>13</v>
      </c>
      <c r="F1808">
        <v>37.320799999999998</v>
      </c>
      <c r="G1808">
        <v>-79.206699999999998</v>
      </c>
      <c r="H1808">
        <v>-5</v>
      </c>
      <c r="I1808">
        <v>286.5</v>
      </c>
      <c r="J1808" t="str">
        <f>HYPERLINK("https://climate.onebuilding.org/WMO_Region_4_North_and_Central_America/USA_United_States_of_America/VA_Virginia/USA_VA_Lynchburg.Rgnl.AP-Glen.Field.724100_US.Normals.1991-2020.zip")</f>
        <v>https://climate.onebuilding.org/WMO_Region_4_North_and_Central_America/USA_United_States_of_America/VA_Virginia/USA_VA_Lynchburg.Rgnl.AP-Glen.Field.724100_US.Normals.1991-2020.zip</v>
      </c>
    </row>
    <row r="1809" spans="1:10" x14ac:dyDescent="0.25">
      <c r="A1809" t="s">
        <v>35</v>
      </c>
      <c r="B1809" t="s">
        <v>1114</v>
      </c>
      <c r="C1809" t="s">
        <v>1124</v>
      </c>
      <c r="D1809" s="2">
        <v>724100</v>
      </c>
      <c r="E1809" t="s">
        <v>13</v>
      </c>
      <c r="F1809">
        <v>37.320799999999998</v>
      </c>
      <c r="G1809">
        <v>-79.206699999999998</v>
      </c>
      <c r="H1809">
        <v>-5</v>
      </c>
      <c r="I1809">
        <v>286.5</v>
      </c>
      <c r="J1809" t="str">
        <f>HYPERLINK("https://climate.onebuilding.org/WMO_Region_4_North_and_Central_America/USA_United_States_of_America/VA_Virginia/USA_VA_Lynchburg.Rgnl.AP-Glen.Field.724100_US.Normals.2006-2020.zip")</f>
        <v>https://climate.onebuilding.org/WMO_Region_4_North_and_Central_America/USA_United_States_of_America/VA_Virginia/USA_VA_Lynchburg.Rgnl.AP-Glen.Field.724100_US.Normals.2006-2020.zip</v>
      </c>
    </row>
    <row r="1810" spans="1:10" x14ac:dyDescent="0.25">
      <c r="A1810" t="s">
        <v>35</v>
      </c>
      <c r="B1810" t="s">
        <v>1114</v>
      </c>
      <c r="C1810" t="s">
        <v>1125</v>
      </c>
      <c r="D1810" s="2">
        <v>724020</v>
      </c>
      <c r="E1810" t="s">
        <v>13</v>
      </c>
      <c r="F1810">
        <v>37.940600000000003</v>
      </c>
      <c r="G1810">
        <v>-75.463099999999997</v>
      </c>
      <c r="H1810">
        <v>-5</v>
      </c>
      <c r="I1810">
        <v>11.6</v>
      </c>
      <c r="J1810" t="str">
        <f>HYPERLINK("https://climate.onebuilding.org/WMO_Region_4_North_and_Central_America/USA_United_States_of_America/VA_Virginia/USA_VA_NASA.Wallops.Flight.Facility.AP.724020_US.Normals.2006-2020.zip")</f>
        <v>https://climate.onebuilding.org/WMO_Region_4_North_and_Central_America/USA_United_States_of_America/VA_Virginia/USA_VA_NASA.Wallops.Flight.Facility.AP.724020_US.Normals.2006-2020.zip</v>
      </c>
    </row>
    <row r="1811" spans="1:10" x14ac:dyDescent="0.25">
      <c r="A1811" t="s">
        <v>35</v>
      </c>
      <c r="B1811" t="s">
        <v>1114</v>
      </c>
      <c r="C1811" t="s">
        <v>1126</v>
      </c>
      <c r="D1811" s="2">
        <v>723086</v>
      </c>
      <c r="E1811" t="s">
        <v>13</v>
      </c>
      <c r="F1811">
        <v>37.131900000000002</v>
      </c>
      <c r="G1811">
        <v>-76.492999999999995</v>
      </c>
      <c r="H1811">
        <v>-5</v>
      </c>
      <c r="I1811">
        <v>12.8</v>
      </c>
      <c r="J1811" t="str">
        <f>HYPERLINK("https://climate.onebuilding.org/WMO_Region_4_North_and_Central_America/USA_United_States_of_America/VA_Virginia/USA_VA_Newport.News-Williamsburg.Intl.AP.723086_US.Normals.1981-2010.zip")</f>
        <v>https://climate.onebuilding.org/WMO_Region_4_North_and_Central_America/USA_United_States_of_America/VA_Virginia/USA_VA_Newport.News-Williamsburg.Intl.AP.723086_US.Normals.1981-2010.zip</v>
      </c>
    </row>
    <row r="1812" spans="1:10" x14ac:dyDescent="0.25">
      <c r="A1812" t="s">
        <v>35</v>
      </c>
      <c r="B1812" t="s">
        <v>1114</v>
      </c>
      <c r="C1812" t="s">
        <v>1126</v>
      </c>
      <c r="D1812" s="2">
        <v>723086</v>
      </c>
      <c r="E1812" t="s">
        <v>13</v>
      </c>
      <c r="F1812">
        <v>37.131900000000002</v>
      </c>
      <c r="G1812">
        <v>-76.492999999999995</v>
      </c>
      <c r="H1812">
        <v>-5</v>
      </c>
      <c r="I1812">
        <v>12.8</v>
      </c>
      <c r="J1812" t="str">
        <f>HYPERLINK("https://climate.onebuilding.org/WMO_Region_4_North_and_Central_America/USA_United_States_of_America/VA_Virginia/USA_VA_Newport.News-Williamsburg.Intl.AP.723086_US.Normals.1991-2020.zip")</f>
        <v>https://climate.onebuilding.org/WMO_Region_4_North_and_Central_America/USA_United_States_of_America/VA_Virginia/USA_VA_Newport.News-Williamsburg.Intl.AP.723086_US.Normals.1991-2020.zip</v>
      </c>
    </row>
    <row r="1813" spans="1:10" x14ac:dyDescent="0.25">
      <c r="A1813" t="s">
        <v>35</v>
      </c>
      <c r="B1813" t="s">
        <v>1114</v>
      </c>
      <c r="C1813" t="s">
        <v>1126</v>
      </c>
      <c r="D1813" s="2">
        <v>723086</v>
      </c>
      <c r="E1813" t="s">
        <v>13</v>
      </c>
      <c r="F1813">
        <v>37.131900000000002</v>
      </c>
      <c r="G1813">
        <v>-76.492999999999995</v>
      </c>
      <c r="H1813">
        <v>-5</v>
      </c>
      <c r="I1813">
        <v>12.8</v>
      </c>
      <c r="J1813" t="str">
        <f>HYPERLINK("https://climate.onebuilding.org/WMO_Region_4_North_and_Central_America/USA_United_States_of_America/VA_Virginia/USA_VA_Newport.News-Williamsburg.Intl.AP.723086_US.Normals.2006-2020.zip")</f>
        <v>https://climate.onebuilding.org/WMO_Region_4_North_and_Central_America/USA_United_States_of_America/VA_Virginia/USA_VA_Newport.News-Williamsburg.Intl.AP.723086_US.Normals.2006-2020.zip</v>
      </c>
    </row>
    <row r="1814" spans="1:10" x14ac:dyDescent="0.25">
      <c r="A1814" t="s">
        <v>35</v>
      </c>
      <c r="B1814" t="s">
        <v>1114</v>
      </c>
      <c r="C1814" t="s">
        <v>1127</v>
      </c>
      <c r="D1814" s="2">
        <v>723085</v>
      </c>
      <c r="E1814" t="s">
        <v>13</v>
      </c>
      <c r="F1814">
        <v>36.936999999999998</v>
      </c>
      <c r="G1814">
        <v>-76.289000000000001</v>
      </c>
      <c r="H1814">
        <v>-5</v>
      </c>
      <c r="I1814">
        <v>5.2</v>
      </c>
      <c r="J1814" t="str">
        <f>HYPERLINK("https://climate.onebuilding.org/WMO_Region_4_North_and_Central_America/USA_United_States_of_America/VA_Virginia/USA_VA_Norfolk-NS.Norfolk-Chambers.Field.723085_US.Normals.1981-2010.zip")</f>
        <v>https://climate.onebuilding.org/WMO_Region_4_North_and_Central_America/USA_United_States_of_America/VA_Virginia/USA_VA_Norfolk-NS.Norfolk-Chambers.Field.723085_US.Normals.1981-2010.zip</v>
      </c>
    </row>
    <row r="1815" spans="1:10" x14ac:dyDescent="0.25">
      <c r="A1815" t="s">
        <v>35</v>
      </c>
      <c r="B1815" t="s">
        <v>1114</v>
      </c>
      <c r="C1815" t="s">
        <v>1127</v>
      </c>
      <c r="D1815" s="2">
        <v>723085</v>
      </c>
      <c r="E1815" t="s">
        <v>13</v>
      </c>
      <c r="F1815">
        <v>36.936999999999998</v>
      </c>
      <c r="G1815">
        <v>-76.289000000000001</v>
      </c>
      <c r="H1815">
        <v>-5</v>
      </c>
      <c r="I1815">
        <v>5.2</v>
      </c>
      <c r="J1815" t="str">
        <f>HYPERLINK("https://climate.onebuilding.org/WMO_Region_4_North_and_Central_America/USA_United_States_of_America/VA_Virginia/USA_VA_Norfolk-NS.Norfolk-Chambers.Field.723085_US.Normals.1991-2020.zip")</f>
        <v>https://climate.onebuilding.org/WMO_Region_4_North_and_Central_America/USA_United_States_of_America/VA_Virginia/USA_VA_Norfolk-NS.Norfolk-Chambers.Field.723085_US.Normals.1991-2020.zip</v>
      </c>
    </row>
    <row r="1816" spans="1:10" x14ac:dyDescent="0.25">
      <c r="A1816" t="s">
        <v>35</v>
      </c>
      <c r="B1816" t="s">
        <v>1114</v>
      </c>
      <c r="C1816" t="s">
        <v>1127</v>
      </c>
      <c r="D1816" s="2">
        <v>723085</v>
      </c>
      <c r="E1816" t="s">
        <v>13</v>
      </c>
      <c r="F1816">
        <v>36.936999999999998</v>
      </c>
      <c r="G1816">
        <v>-76.289000000000001</v>
      </c>
      <c r="H1816">
        <v>-5</v>
      </c>
      <c r="I1816">
        <v>5.2</v>
      </c>
      <c r="J1816" t="str">
        <f>HYPERLINK("https://climate.onebuilding.org/WMO_Region_4_North_and_Central_America/USA_United_States_of_America/VA_Virginia/USA_VA_Norfolk-NS.Norfolk-Chambers.Field.723085_US.Normals.2006-2020.zip")</f>
        <v>https://climate.onebuilding.org/WMO_Region_4_North_and_Central_America/USA_United_States_of_America/VA_Virginia/USA_VA_Norfolk-NS.Norfolk-Chambers.Field.723085_US.Normals.2006-2020.zip</v>
      </c>
    </row>
    <row r="1817" spans="1:10" x14ac:dyDescent="0.25">
      <c r="A1817" t="s">
        <v>35</v>
      </c>
      <c r="B1817" t="s">
        <v>1114</v>
      </c>
      <c r="C1817" t="s">
        <v>1128</v>
      </c>
      <c r="D1817" s="2">
        <v>723080</v>
      </c>
      <c r="E1817" t="s">
        <v>13</v>
      </c>
      <c r="F1817">
        <v>36.903300000000002</v>
      </c>
      <c r="G1817">
        <v>-76.1922</v>
      </c>
      <c r="H1817">
        <v>-5</v>
      </c>
      <c r="I1817">
        <v>9.1</v>
      </c>
      <c r="J1817" t="str">
        <f>HYPERLINK("https://climate.onebuilding.org/WMO_Region_4_North_and_Central_America/USA_United_States_of_America/VA_Virginia/USA_VA_Norfolk.Intl.AP.723080_US.Normals.1981-2010.zip")</f>
        <v>https://climate.onebuilding.org/WMO_Region_4_North_and_Central_America/USA_United_States_of_America/VA_Virginia/USA_VA_Norfolk.Intl.AP.723080_US.Normals.1981-2010.zip</v>
      </c>
    </row>
    <row r="1818" spans="1:10" x14ac:dyDescent="0.25">
      <c r="A1818" t="s">
        <v>35</v>
      </c>
      <c r="B1818" t="s">
        <v>1114</v>
      </c>
      <c r="C1818" t="s">
        <v>1128</v>
      </c>
      <c r="D1818" s="2">
        <v>723080</v>
      </c>
      <c r="E1818" t="s">
        <v>13</v>
      </c>
      <c r="F1818">
        <v>36.903300000000002</v>
      </c>
      <c r="G1818">
        <v>-76.1922</v>
      </c>
      <c r="H1818">
        <v>-5</v>
      </c>
      <c r="I1818">
        <v>9.1</v>
      </c>
      <c r="J1818" t="str">
        <f>HYPERLINK("https://climate.onebuilding.org/WMO_Region_4_North_and_Central_America/USA_United_States_of_America/VA_Virginia/USA_VA_Norfolk.Intl.AP.723080_US.Normals.1991-2020.zip")</f>
        <v>https://climate.onebuilding.org/WMO_Region_4_North_and_Central_America/USA_United_States_of_America/VA_Virginia/USA_VA_Norfolk.Intl.AP.723080_US.Normals.1991-2020.zip</v>
      </c>
    </row>
    <row r="1819" spans="1:10" x14ac:dyDescent="0.25">
      <c r="A1819" t="s">
        <v>35</v>
      </c>
      <c r="B1819" t="s">
        <v>1114</v>
      </c>
      <c r="C1819" t="s">
        <v>1128</v>
      </c>
      <c r="D1819" s="2">
        <v>723080</v>
      </c>
      <c r="E1819" t="s">
        <v>13</v>
      </c>
      <c r="F1819">
        <v>36.903300000000002</v>
      </c>
      <c r="G1819">
        <v>-76.1922</v>
      </c>
      <c r="H1819">
        <v>-5</v>
      </c>
      <c r="I1819">
        <v>9.1</v>
      </c>
      <c r="J1819" t="str">
        <f>HYPERLINK("https://climate.onebuilding.org/WMO_Region_4_North_and_Central_America/USA_United_States_of_America/VA_Virginia/USA_VA_Norfolk.Intl.AP.723080_US.Normals.2006-2020.zip")</f>
        <v>https://climate.onebuilding.org/WMO_Region_4_North_and_Central_America/USA_United_States_of_America/VA_Virginia/USA_VA_Norfolk.Intl.AP.723080_US.Normals.2006-2020.zip</v>
      </c>
    </row>
    <row r="1820" spans="1:10" x14ac:dyDescent="0.25">
      <c r="A1820" t="s">
        <v>35</v>
      </c>
      <c r="B1820" t="s">
        <v>1114</v>
      </c>
      <c r="C1820" t="s">
        <v>1129</v>
      </c>
      <c r="D1820" s="2">
        <v>724035</v>
      </c>
      <c r="E1820" t="s">
        <v>13</v>
      </c>
      <c r="F1820">
        <v>38.503999999999998</v>
      </c>
      <c r="G1820">
        <v>-77.305000000000007</v>
      </c>
      <c r="H1820">
        <v>-5</v>
      </c>
      <c r="I1820">
        <v>3</v>
      </c>
      <c r="J1820" t="str">
        <f>HYPERLINK("https://climate.onebuilding.org/WMO_Region_4_North_and_Central_America/USA_United_States_of_America/VA_Virginia/USA_VA_Quantico-MCB.Quantico-MCAF.Quantico-Turner.Field.724035_US.Normals.1991-2020.zip")</f>
        <v>https://climate.onebuilding.org/WMO_Region_4_North_and_Central_America/USA_United_States_of_America/VA_Virginia/USA_VA_Quantico-MCB.Quantico-MCAF.Quantico-Turner.Field.724035_US.Normals.1991-2020.zip</v>
      </c>
    </row>
    <row r="1821" spans="1:10" x14ac:dyDescent="0.25">
      <c r="A1821" t="s">
        <v>35</v>
      </c>
      <c r="B1821" t="s">
        <v>1114</v>
      </c>
      <c r="C1821" t="s">
        <v>1129</v>
      </c>
      <c r="D1821" s="2">
        <v>724035</v>
      </c>
      <c r="E1821" t="s">
        <v>13</v>
      </c>
      <c r="F1821">
        <v>38.503999999999998</v>
      </c>
      <c r="G1821">
        <v>-77.305000000000007</v>
      </c>
      <c r="H1821">
        <v>-5</v>
      </c>
      <c r="I1821">
        <v>3</v>
      </c>
      <c r="J1821" t="str">
        <f>HYPERLINK("https://climate.onebuilding.org/WMO_Region_4_North_and_Central_America/USA_United_States_of_America/VA_Virginia/USA_VA_Quantico-MCB.Quantico-MCAF.Quantico-Turner.Field.724035_US.Normals.2006-2020.zip")</f>
        <v>https://climate.onebuilding.org/WMO_Region_4_North_and_Central_America/USA_United_States_of_America/VA_Virginia/USA_VA_Quantico-MCB.Quantico-MCAF.Quantico-Turner.Field.724035_US.Normals.2006-2020.zip</v>
      </c>
    </row>
    <row r="1822" spans="1:10" x14ac:dyDescent="0.25">
      <c r="A1822" t="s">
        <v>35</v>
      </c>
      <c r="B1822" t="s">
        <v>1114</v>
      </c>
      <c r="C1822" t="s">
        <v>1130</v>
      </c>
      <c r="D1822" s="2">
        <v>724010</v>
      </c>
      <c r="E1822" t="s">
        <v>13</v>
      </c>
      <c r="F1822">
        <v>37.505000000000003</v>
      </c>
      <c r="G1822">
        <v>-77.320300000000003</v>
      </c>
      <c r="H1822">
        <v>-5</v>
      </c>
      <c r="I1822">
        <v>50</v>
      </c>
      <c r="J1822" t="str">
        <f>HYPERLINK("https://climate.onebuilding.org/WMO_Region_4_North_and_Central_America/USA_United_States_of_America/VA_Virginia/USA_VA_Richmond.Intl.AP.724010_US.Normals.1981-2010.zip")</f>
        <v>https://climate.onebuilding.org/WMO_Region_4_North_and_Central_America/USA_United_States_of_America/VA_Virginia/USA_VA_Richmond.Intl.AP.724010_US.Normals.1981-2010.zip</v>
      </c>
    </row>
    <row r="1823" spans="1:10" x14ac:dyDescent="0.25">
      <c r="A1823" t="s">
        <v>35</v>
      </c>
      <c r="B1823" t="s">
        <v>1114</v>
      </c>
      <c r="C1823" t="s">
        <v>1130</v>
      </c>
      <c r="D1823" s="2">
        <v>724010</v>
      </c>
      <c r="E1823" t="s">
        <v>13</v>
      </c>
      <c r="F1823">
        <v>37.505000000000003</v>
      </c>
      <c r="G1823">
        <v>-77.320300000000003</v>
      </c>
      <c r="H1823">
        <v>-5</v>
      </c>
      <c r="I1823">
        <v>50</v>
      </c>
      <c r="J1823" t="str">
        <f>HYPERLINK("https://climate.onebuilding.org/WMO_Region_4_North_and_Central_America/USA_United_States_of_America/VA_Virginia/USA_VA_Richmond.Intl.AP.724010_US.Normals.1991-2020.zip")</f>
        <v>https://climate.onebuilding.org/WMO_Region_4_North_and_Central_America/USA_United_States_of_America/VA_Virginia/USA_VA_Richmond.Intl.AP.724010_US.Normals.1991-2020.zip</v>
      </c>
    </row>
    <row r="1824" spans="1:10" x14ac:dyDescent="0.25">
      <c r="A1824" t="s">
        <v>35</v>
      </c>
      <c r="B1824" t="s">
        <v>1114</v>
      </c>
      <c r="C1824" t="s">
        <v>1130</v>
      </c>
      <c r="D1824" s="2">
        <v>724010</v>
      </c>
      <c r="E1824" t="s">
        <v>13</v>
      </c>
      <c r="F1824">
        <v>37.505000000000003</v>
      </c>
      <c r="G1824">
        <v>-77.320300000000003</v>
      </c>
      <c r="H1824">
        <v>-5</v>
      </c>
      <c r="I1824">
        <v>50</v>
      </c>
      <c r="J1824" t="str">
        <f>HYPERLINK("https://climate.onebuilding.org/WMO_Region_4_North_and_Central_America/USA_United_States_of_America/VA_Virginia/USA_VA_Richmond.Intl.AP.724010_US.Normals.2006-2020.zip")</f>
        <v>https://climate.onebuilding.org/WMO_Region_4_North_and_Central_America/USA_United_States_of_America/VA_Virginia/USA_VA_Richmond.Intl.AP.724010_US.Normals.2006-2020.zip</v>
      </c>
    </row>
    <row r="1825" spans="1:10" x14ac:dyDescent="0.25">
      <c r="A1825" t="s">
        <v>35</v>
      </c>
      <c r="B1825" t="s">
        <v>1114</v>
      </c>
      <c r="C1825" t="s">
        <v>1131</v>
      </c>
      <c r="D1825" s="2">
        <v>724110</v>
      </c>
      <c r="E1825" t="s">
        <v>13</v>
      </c>
      <c r="F1825">
        <v>37.316899999999997</v>
      </c>
      <c r="G1825">
        <v>-79.974199999999996</v>
      </c>
      <c r="H1825">
        <v>-5</v>
      </c>
      <c r="I1825">
        <v>358.1</v>
      </c>
      <c r="J1825" t="str">
        <f>HYPERLINK("https://climate.onebuilding.org/WMO_Region_4_North_and_Central_America/USA_United_States_of_America/VA_Virginia/USA_VA_Roanoke-Blacksburg.Rgnl.AP-Woodrum.Field.724110_US.Normals.1981-2010.zip")</f>
        <v>https://climate.onebuilding.org/WMO_Region_4_North_and_Central_America/USA_United_States_of_America/VA_Virginia/USA_VA_Roanoke-Blacksburg.Rgnl.AP-Woodrum.Field.724110_US.Normals.1981-2010.zip</v>
      </c>
    </row>
    <row r="1826" spans="1:10" x14ac:dyDescent="0.25">
      <c r="A1826" t="s">
        <v>35</v>
      </c>
      <c r="B1826" t="s">
        <v>1114</v>
      </c>
      <c r="C1826" t="s">
        <v>1131</v>
      </c>
      <c r="D1826" s="2">
        <v>724110</v>
      </c>
      <c r="E1826" t="s">
        <v>13</v>
      </c>
      <c r="F1826">
        <v>37.316899999999997</v>
      </c>
      <c r="G1826">
        <v>-79.974199999999996</v>
      </c>
      <c r="H1826">
        <v>-5</v>
      </c>
      <c r="I1826">
        <v>358.1</v>
      </c>
      <c r="J1826" t="str">
        <f>HYPERLINK("https://climate.onebuilding.org/WMO_Region_4_North_and_Central_America/USA_United_States_of_America/VA_Virginia/USA_VA_Roanoke-Blacksburg.Rgnl.AP-Woodrum.Field.724110_US.Normals.1991-2020.zip")</f>
        <v>https://climate.onebuilding.org/WMO_Region_4_North_and_Central_America/USA_United_States_of_America/VA_Virginia/USA_VA_Roanoke-Blacksburg.Rgnl.AP-Woodrum.Field.724110_US.Normals.1991-2020.zip</v>
      </c>
    </row>
    <row r="1827" spans="1:10" x14ac:dyDescent="0.25">
      <c r="A1827" t="s">
        <v>35</v>
      </c>
      <c r="B1827" t="s">
        <v>1114</v>
      </c>
      <c r="C1827" t="s">
        <v>1131</v>
      </c>
      <c r="D1827" s="2">
        <v>724110</v>
      </c>
      <c r="E1827" t="s">
        <v>13</v>
      </c>
      <c r="F1827">
        <v>37.316899999999997</v>
      </c>
      <c r="G1827">
        <v>-79.974199999999996</v>
      </c>
      <c r="H1827">
        <v>-5</v>
      </c>
      <c r="I1827">
        <v>358.1</v>
      </c>
      <c r="J1827" t="str">
        <f>HYPERLINK("https://climate.onebuilding.org/WMO_Region_4_North_and_Central_America/USA_United_States_of_America/VA_Virginia/USA_VA_Roanoke-Blacksburg.Rgnl.AP-Woodrum.Field.724110_US.Normals.2006-2020.zip")</f>
        <v>https://climate.onebuilding.org/WMO_Region_4_North_and_Central_America/USA_United_States_of_America/VA_Virginia/USA_VA_Roanoke-Blacksburg.Rgnl.AP-Woodrum.Field.724110_US.Normals.2006-2020.zip</v>
      </c>
    </row>
    <row r="1828" spans="1:10" x14ac:dyDescent="0.25">
      <c r="A1828" t="s">
        <v>35</v>
      </c>
      <c r="B1828" t="s">
        <v>1114</v>
      </c>
      <c r="C1828" t="s">
        <v>1132</v>
      </c>
      <c r="D1828" s="2">
        <v>745900</v>
      </c>
      <c r="E1828" t="s">
        <v>13</v>
      </c>
      <c r="F1828">
        <v>37.290799999999997</v>
      </c>
      <c r="G1828">
        <v>-75.926900000000003</v>
      </c>
      <c r="H1828">
        <v>-5</v>
      </c>
      <c r="I1828">
        <v>8.8000000000000007</v>
      </c>
      <c r="J1828" t="str">
        <f>HYPERLINK("https://climate.onebuilding.org/WMO_Region_4_North_and_Central_America/USA_United_States_of_America/VA_Virginia/USA_VA_Univ.Virginia.Coast.Reserve.745900_US.Normals.2006-2020.zip")</f>
        <v>https://climate.onebuilding.org/WMO_Region_4_North_and_Central_America/USA_United_States_of_America/VA_Virginia/USA_VA_Univ.Virginia.Coast.Reserve.745900_US.Normals.2006-2020.zip</v>
      </c>
    </row>
    <row r="1829" spans="1:10" x14ac:dyDescent="0.25">
      <c r="A1829" t="s">
        <v>35</v>
      </c>
      <c r="B1829" t="s">
        <v>1114</v>
      </c>
      <c r="C1829" t="s">
        <v>1133</v>
      </c>
      <c r="D1829" s="2">
        <v>723075</v>
      </c>
      <c r="E1829" t="s">
        <v>13</v>
      </c>
      <c r="F1829">
        <v>36.816699999999997</v>
      </c>
      <c r="G1829">
        <v>-76.033299999999997</v>
      </c>
      <c r="H1829">
        <v>-5</v>
      </c>
      <c r="I1829">
        <v>7</v>
      </c>
      <c r="J1829" t="str">
        <f>HYPERLINK("https://climate.onebuilding.org/WMO_Region_4_North_and_Central_America/USA_United_States_of_America/VA_Virginia/USA_VA_Virginia.Beach-NAS.Oceana.723075_US.Normals.1981-2010.zip")</f>
        <v>https://climate.onebuilding.org/WMO_Region_4_North_and_Central_America/USA_United_States_of_America/VA_Virginia/USA_VA_Virginia.Beach-NAS.Oceana.723075_US.Normals.1981-2010.zip</v>
      </c>
    </row>
    <row r="1830" spans="1:10" x14ac:dyDescent="0.25">
      <c r="A1830" t="s">
        <v>35</v>
      </c>
      <c r="B1830" t="s">
        <v>1114</v>
      </c>
      <c r="C1830" t="s">
        <v>1133</v>
      </c>
      <c r="D1830" s="2">
        <v>723075</v>
      </c>
      <c r="E1830" t="s">
        <v>13</v>
      </c>
      <c r="F1830">
        <v>36.816699999999997</v>
      </c>
      <c r="G1830">
        <v>-76.033299999999997</v>
      </c>
      <c r="H1830">
        <v>-5</v>
      </c>
      <c r="I1830">
        <v>7</v>
      </c>
      <c r="J1830" t="str">
        <f>HYPERLINK("https://climate.onebuilding.org/WMO_Region_4_North_and_Central_America/USA_United_States_of_America/VA_Virginia/USA_VA_Virginia.Beach-NAS.Oceana.723075_US.Normals.1991-2020.zip")</f>
        <v>https://climate.onebuilding.org/WMO_Region_4_North_and_Central_America/USA_United_States_of_America/VA_Virginia/USA_VA_Virginia.Beach-NAS.Oceana.723075_US.Normals.1991-2020.zip</v>
      </c>
    </row>
    <row r="1831" spans="1:10" x14ac:dyDescent="0.25">
      <c r="A1831" t="s">
        <v>35</v>
      </c>
      <c r="B1831" t="s">
        <v>1114</v>
      </c>
      <c r="C1831" t="s">
        <v>1133</v>
      </c>
      <c r="D1831" s="2">
        <v>723075</v>
      </c>
      <c r="E1831" t="s">
        <v>13</v>
      </c>
      <c r="F1831">
        <v>36.816699999999997</v>
      </c>
      <c r="G1831">
        <v>-76.033299999999997</v>
      </c>
      <c r="H1831">
        <v>-5</v>
      </c>
      <c r="I1831">
        <v>7</v>
      </c>
      <c r="J1831" t="str">
        <f>HYPERLINK("https://climate.onebuilding.org/WMO_Region_4_North_and_Central_America/USA_United_States_of_America/VA_Virginia/USA_VA_Virginia.Beach-NAS.Oceana.723075_US.Normals.2006-2020.zip")</f>
        <v>https://climate.onebuilding.org/WMO_Region_4_North_and_Central_America/USA_United_States_of_America/VA_Virginia/USA_VA_Virginia.Beach-NAS.Oceana.723075_US.Normals.2006-2020.zip</v>
      </c>
    </row>
    <row r="1832" spans="1:10" x14ac:dyDescent="0.25">
      <c r="A1832" t="s">
        <v>35</v>
      </c>
      <c r="B1832" t="s">
        <v>1114</v>
      </c>
      <c r="C1832" t="s">
        <v>1134</v>
      </c>
      <c r="D1832" s="2">
        <v>724019</v>
      </c>
      <c r="E1832" t="s">
        <v>13</v>
      </c>
      <c r="F1832">
        <v>36.983899999999998</v>
      </c>
      <c r="G1832">
        <v>-77.007499999999993</v>
      </c>
      <c r="H1832">
        <v>-5</v>
      </c>
      <c r="I1832">
        <v>34.1</v>
      </c>
      <c r="J1832" t="str">
        <f>HYPERLINK("https://climate.onebuilding.org/WMO_Region_4_North_and_Central_America/USA_United_States_of_America/VA_Virginia/USA_VA_Wakefield.Muni.AP.724019_US.Normals.2006-2020.zip")</f>
        <v>https://climate.onebuilding.org/WMO_Region_4_North_and_Central_America/USA_United_States_of_America/VA_Virginia/USA_VA_Wakefield.Muni.AP.724019_US.Normals.2006-2020.zip</v>
      </c>
    </row>
    <row r="1833" spans="1:10" x14ac:dyDescent="0.25">
      <c r="A1833" t="s">
        <v>35</v>
      </c>
      <c r="B1833" t="s">
        <v>1135</v>
      </c>
      <c r="C1833" t="s">
        <v>1136</v>
      </c>
      <c r="D1833" s="2">
        <v>726166</v>
      </c>
      <c r="E1833" t="s">
        <v>13</v>
      </c>
      <c r="F1833">
        <v>42.891399999999997</v>
      </c>
      <c r="G1833">
        <v>-73.246899999999997</v>
      </c>
      <c r="H1833">
        <v>-5</v>
      </c>
      <c r="I1833">
        <v>251.8</v>
      </c>
      <c r="J1833" t="str">
        <f>HYPERLINK("https://climate.onebuilding.org/WMO_Region_4_North_and_Central_America/USA_United_States_of_America/VT_Vermont/USA_VT_Bennington-Morse.State.AP.726166_US.Normals.2006-2020.zip")</f>
        <v>https://climate.onebuilding.org/WMO_Region_4_North_and_Central_America/USA_United_States_of_America/VT_Vermont/USA_VT_Bennington-Morse.State.AP.726166_US.Normals.2006-2020.zip</v>
      </c>
    </row>
    <row r="1834" spans="1:10" x14ac:dyDescent="0.25">
      <c r="A1834" t="s">
        <v>35</v>
      </c>
      <c r="B1834" t="s">
        <v>1135</v>
      </c>
      <c r="C1834" t="s">
        <v>1137</v>
      </c>
      <c r="D1834" s="2">
        <v>726170</v>
      </c>
      <c r="E1834" t="s">
        <v>13</v>
      </c>
      <c r="F1834">
        <v>44.468299999999999</v>
      </c>
      <c r="G1834">
        <v>-73.150000000000006</v>
      </c>
      <c r="H1834">
        <v>-5</v>
      </c>
      <c r="I1834">
        <v>100.6</v>
      </c>
      <c r="J1834" t="str">
        <f>HYPERLINK("https://climate.onebuilding.org/WMO_Region_4_North_and_Central_America/USA_United_States_of_America/VT_Vermont/USA_VT_Burlington.Intl.AP.726170_US.Normals.1981-2010.zip")</f>
        <v>https://climate.onebuilding.org/WMO_Region_4_North_and_Central_America/USA_United_States_of_America/VT_Vermont/USA_VT_Burlington.Intl.AP.726170_US.Normals.1981-2010.zip</v>
      </c>
    </row>
    <row r="1835" spans="1:10" x14ac:dyDescent="0.25">
      <c r="A1835" t="s">
        <v>35</v>
      </c>
      <c r="B1835" t="s">
        <v>1135</v>
      </c>
      <c r="C1835" t="s">
        <v>1137</v>
      </c>
      <c r="D1835" s="2">
        <v>726170</v>
      </c>
      <c r="E1835" t="s">
        <v>13</v>
      </c>
      <c r="F1835">
        <v>44.468299999999999</v>
      </c>
      <c r="G1835">
        <v>-73.150000000000006</v>
      </c>
      <c r="H1835">
        <v>-5</v>
      </c>
      <c r="I1835">
        <v>100.6</v>
      </c>
      <c r="J1835" t="str">
        <f>HYPERLINK("https://climate.onebuilding.org/WMO_Region_4_North_and_Central_America/USA_United_States_of_America/VT_Vermont/USA_VT_Burlington.Intl.AP.726170_US.Normals.1991-2020.zip")</f>
        <v>https://climate.onebuilding.org/WMO_Region_4_North_and_Central_America/USA_United_States_of_America/VT_Vermont/USA_VT_Burlington.Intl.AP.726170_US.Normals.1991-2020.zip</v>
      </c>
    </row>
    <row r="1836" spans="1:10" x14ac:dyDescent="0.25">
      <c r="A1836" t="s">
        <v>35</v>
      </c>
      <c r="B1836" t="s">
        <v>1135</v>
      </c>
      <c r="C1836" t="s">
        <v>1137</v>
      </c>
      <c r="D1836" s="2">
        <v>726170</v>
      </c>
      <c r="E1836" t="s">
        <v>13</v>
      </c>
      <c r="F1836">
        <v>44.468299999999999</v>
      </c>
      <c r="G1836">
        <v>-73.150000000000006</v>
      </c>
      <c r="H1836">
        <v>-5</v>
      </c>
      <c r="I1836">
        <v>100.6</v>
      </c>
      <c r="J1836" t="str">
        <f>HYPERLINK("https://climate.onebuilding.org/WMO_Region_4_North_and_Central_America/USA_United_States_of_America/VT_Vermont/USA_VT_Burlington.Intl.AP.726170_US.Normals.2006-2020.zip")</f>
        <v>https://climate.onebuilding.org/WMO_Region_4_North_and_Central_America/USA_United_States_of_America/VT_Vermont/USA_VT_Burlington.Intl.AP.726170_US.Normals.2006-2020.zip</v>
      </c>
    </row>
    <row r="1837" spans="1:10" x14ac:dyDescent="0.25">
      <c r="A1837" t="s">
        <v>35</v>
      </c>
      <c r="B1837" t="s">
        <v>1135</v>
      </c>
      <c r="C1837" t="s">
        <v>1138</v>
      </c>
      <c r="D1837" s="2">
        <v>726145</v>
      </c>
      <c r="E1837" t="s">
        <v>13</v>
      </c>
      <c r="F1837">
        <v>44.203299999999999</v>
      </c>
      <c r="G1837">
        <v>-72.579400000000007</v>
      </c>
      <c r="H1837">
        <v>-5</v>
      </c>
      <c r="I1837">
        <v>343.2</v>
      </c>
      <c r="J1837" t="str">
        <f>HYPERLINK("https://climate.onebuilding.org/WMO_Region_4_North_and_Central_America/USA_United_States_of_America/VT_Vermont/USA_VT_Montpelier-Knapp.State.AP.726145_US.Normals.1981-2010.zip")</f>
        <v>https://climate.onebuilding.org/WMO_Region_4_North_and_Central_America/USA_United_States_of_America/VT_Vermont/USA_VT_Montpelier-Knapp.State.AP.726145_US.Normals.1981-2010.zip</v>
      </c>
    </row>
    <row r="1838" spans="1:10" x14ac:dyDescent="0.25">
      <c r="A1838" t="s">
        <v>35</v>
      </c>
      <c r="B1838" t="s">
        <v>1135</v>
      </c>
      <c r="C1838" t="s">
        <v>1138</v>
      </c>
      <c r="D1838" s="2">
        <v>726145</v>
      </c>
      <c r="E1838" t="s">
        <v>13</v>
      </c>
      <c r="F1838">
        <v>44.203299999999999</v>
      </c>
      <c r="G1838">
        <v>-72.579400000000007</v>
      </c>
      <c r="H1838">
        <v>-5</v>
      </c>
      <c r="I1838">
        <v>343.2</v>
      </c>
      <c r="J1838" t="str">
        <f>HYPERLINK("https://climate.onebuilding.org/WMO_Region_4_North_and_Central_America/USA_United_States_of_America/VT_Vermont/USA_VT_Montpelier-Knapp.State.AP.726145_US.Normals.1991-2020.zip")</f>
        <v>https://climate.onebuilding.org/WMO_Region_4_North_and_Central_America/USA_United_States_of_America/VT_Vermont/USA_VT_Montpelier-Knapp.State.AP.726145_US.Normals.1991-2020.zip</v>
      </c>
    </row>
    <row r="1839" spans="1:10" x14ac:dyDescent="0.25">
      <c r="A1839" t="s">
        <v>35</v>
      </c>
      <c r="B1839" t="s">
        <v>1135</v>
      </c>
      <c r="C1839" t="s">
        <v>1138</v>
      </c>
      <c r="D1839" s="2">
        <v>726145</v>
      </c>
      <c r="E1839" t="s">
        <v>13</v>
      </c>
      <c r="F1839">
        <v>44.203299999999999</v>
      </c>
      <c r="G1839">
        <v>-72.579400000000007</v>
      </c>
      <c r="H1839">
        <v>-5</v>
      </c>
      <c r="I1839">
        <v>343.2</v>
      </c>
      <c r="J1839" t="str">
        <f>HYPERLINK("https://climate.onebuilding.org/WMO_Region_4_North_and_Central_America/USA_United_States_of_America/VT_Vermont/USA_VT_Montpelier-Knapp.State.AP.726145_US.Normals.2006-2020.zip")</f>
        <v>https://climate.onebuilding.org/WMO_Region_4_North_and_Central_America/USA_United_States_of_America/VT_Vermont/USA_VT_Montpelier-Knapp.State.AP.726145_US.Normals.2006-2020.zip</v>
      </c>
    </row>
    <row r="1840" spans="1:10" x14ac:dyDescent="0.25">
      <c r="A1840" t="s">
        <v>35</v>
      </c>
      <c r="B1840" t="s">
        <v>1135</v>
      </c>
      <c r="C1840" t="s">
        <v>1139</v>
      </c>
      <c r="D1840" s="2">
        <v>726114</v>
      </c>
      <c r="E1840" t="s">
        <v>13</v>
      </c>
      <c r="F1840">
        <v>44.534399999999998</v>
      </c>
      <c r="G1840">
        <v>-72.614400000000003</v>
      </c>
      <c r="H1840">
        <v>-5</v>
      </c>
      <c r="I1840">
        <v>223.1</v>
      </c>
      <c r="J1840" t="str">
        <f>HYPERLINK("https://climate.onebuilding.org/WMO_Region_4_North_and_Central_America/USA_United_States_of_America/VT_Vermont/USA_VT_Morrisville-Stowe.State.AP.726114_US.Normals.2006-2020.zip")</f>
        <v>https://climate.onebuilding.org/WMO_Region_4_North_and_Central_America/USA_United_States_of_America/VT_Vermont/USA_VT_Morrisville-Stowe.State.AP.726114_US.Normals.2006-2020.zip</v>
      </c>
    </row>
    <row r="1841" spans="1:10" x14ac:dyDescent="0.25">
      <c r="A1841" t="s">
        <v>35</v>
      </c>
      <c r="B1841" t="s">
        <v>1135</v>
      </c>
      <c r="C1841" t="s">
        <v>1140</v>
      </c>
      <c r="D1841" s="2">
        <v>726115</v>
      </c>
      <c r="E1841" t="s">
        <v>13</v>
      </c>
      <c r="F1841">
        <v>43.343600000000002</v>
      </c>
      <c r="G1841">
        <v>-72.517799999999994</v>
      </c>
      <c r="H1841">
        <v>-5</v>
      </c>
      <c r="I1841">
        <v>176.2</v>
      </c>
      <c r="J1841" t="str">
        <f>HYPERLINK("https://climate.onebuilding.org/WMO_Region_4_North_and_Central_America/USA_United_States_of_America/VT_Vermont/USA_VT_Springfield-Hartness.State.AP.726115_US.Normals.2006-2020.zip")</f>
        <v>https://climate.onebuilding.org/WMO_Region_4_North_and_Central_America/USA_United_States_of_America/VT_Vermont/USA_VT_Springfield-Hartness.State.AP.726115_US.Normals.2006-2020.zip</v>
      </c>
    </row>
    <row r="1842" spans="1:10" x14ac:dyDescent="0.25">
      <c r="A1842" t="s">
        <v>35</v>
      </c>
      <c r="B1842" t="s">
        <v>1135</v>
      </c>
      <c r="C1842" t="s">
        <v>1141</v>
      </c>
      <c r="D1842" s="2">
        <v>726140</v>
      </c>
      <c r="E1842" t="s">
        <v>13</v>
      </c>
      <c r="F1842">
        <v>44.42</v>
      </c>
      <c r="G1842">
        <v>-72.019400000000005</v>
      </c>
      <c r="H1842">
        <v>-5</v>
      </c>
      <c r="I1842">
        <v>213.4</v>
      </c>
      <c r="J1842" t="str">
        <f>HYPERLINK("https://climate.onebuilding.org/WMO_Region_4_North_and_Central_America/USA_United_States_of_America/VT_Vermont/USA_VT_St.Johnsbury.AMOS.726140_US.Normals.2006-2020.zip")</f>
        <v>https://climate.onebuilding.org/WMO_Region_4_North_and_Central_America/USA_United_States_of_America/VT_Vermont/USA_VT_St.Johnsbury.AMOS.726140_US.Normals.2006-2020.zip</v>
      </c>
    </row>
    <row r="1843" spans="1:10" x14ac:dyDescent="0.25">
      <c r="A1843" t="s">
        <v>35</v>
      </c>
      <c r="B1843" t="s">
        <v>1142</v>
      </c>
      <c r="C1843" t="s">
        <v>1143</v>
      </c>
      <c r="D1843" s="2">
        <v>727976</v>
      </c>
      <c r="E1843" t="s">
        <v>13</v>
      </c>
      <c r="F1843">
        <v>48.793900000000001</v>
      </c>
      <c r="G1843">
        <v>-122.5372</v>
      </c>
      <c r="H1843">
        <v>-8</v>
      </c>
      <c r="I1843">
        <v>45.4</v>
      </c>
      <c r="J1843" t="str">
        <f>HYPERLINK("https://climate.onebuilding.org/WMO_Region_4_North_and_Central_America/USA_United_States_of_America/WA_Washington/USA_WA_Bellingham.Intl.AP.727976_US.Normals.1981-2010.zip")</f>
        <v>https://climate.onebuilding.org/WMO_Region_4_North_and_Central_America/USA_United_States_of_America/WA_Washington/USA_WA_Bellingham.Intl.AP.727976_US.Normals.1981-2010.zip</v>
      </c>
    </row>
    <row r="1844" spans="1:10" x14ac:dyDescent="0.25">
      <c r="A1844" t="s">
        <v>35</v>
      </c>
      <c r="B1844" t="s">
        <v>1142</v>
      </c>
      <c r="C1844" t="s">
        <v>1143</v>
      </c>
      <c r="D1844" s="2">
        <v>727976</v>
      </c>
      <c r="E1844" t="s">
        <v>13</v>
      </c>
      <c r="F1844">
        <v>48.793900000000001</v>
      </c>
      <c r="G1844">
        <v>-122.5372</v>
      </c>
      <c r="H1844">
        <v>-8</v>
      </c>
      <c r="I1844">
        <v>45.4</v>
      </c>
      <c r="J1844" t="str">
        <f>HYPERLINK("https://climate.onebuilding.org/WMO_Region_4_North_and_Central_America/USA_United_States_of_America/WA_Washington/USA_WA_Bellingham.Intl.AP.727976_US.Normals.1991-2020.zip")</f>
        <v>https://climate.onebuilding.org/WMO_Region_4_North_and_Central_America/USA_United_States_of_America/WA_Washington/USA_WA_Bellingham.Intl.AP.727976_US.Normals.1991-2020.zip</v>
      </c>
    </row>
    <row r="1845" spans="1:10" x14ac:dyDescent="0.25">
      <c r="A1845" t="s">
        <v>35</v>
      </c>
      <c r="B1845" t="s">
        <v>1142</v>
      </c>
      <c r="C1845" t="s">
        <v>1143</v>
      </c>
      <c r="D1845" s="2">
        <v>727976</v>
      </c>
      <c r="E1845" t="s">
        <v>13</v>
      </c>
      <c r="F1845">
        <v>48.793900000000001</v>
      </c>
      <c r="G1845">
        <v>-122.5372</v>
      </c>
      <c r="H1845">
        <v>-8</v>
      </c>
      <c r="I1845">
        <v>45.4</v>
      </c>
      <c r="J1845" t="str">
        <f>HYPERLINK("https://climate.onebuilding.org/WMO_Region_4_North_and_Central_America/USA_United_States_of_America/WA_Washington/USA_WA_Bellingham.Intl.AP.727976_US.Normals.2006-2020.zip")</f>
        <v>https://climate.onebuilding.org/WMO_Region_4_North_and_Central_America/USA_United_States_of_America/WA_Washington/USA_WA_Bellingham.Intl.AP.727976_US.Normals.2006-2020.zip</v>
      </c>
    </row>
    <row r="1846" spans="1:10" x14ac:dyDescent="0.25">
      <c r="A1846" t="s">
        <v>35</v>
      </c>
      <c r="B1846" t="s">
        <v>1142</v>
      </c>
      <c r="C1846" t="s">
        <v>1144</v>
      </c>
      <c r="D1846" s="2">
        <v>727870</v>
      </c>
      <c r="E1846" t="s">
        <v>13</v>
      </c>
      <c r="F1846">
        <v>47.974200000000003</v>
      </c>
      <c r="G1846">
        <v>-117.42829999999999</v>
      </c>
      <c r="H1846">
        <v>-8</v>
      </c>
      <c r="I1846">
        <v>667.8</v>
      </c>
      <c r="J1846" t="str">
        <f>HYPERLINK("https://climate.onebuilding.org/WMO_Region_4_North_and_Central_America/USA_United_States_of_America/WA_Washington/USA_WA_Deer.Park.AP.727870_US.Normals.2006-2020.zip")</f>
        <v>https://climate.onebuilding.org/WMO_Region_4_North_and_Central_America/USA_United_States_of_America/WA_Washington/USA_WA_Deer.Park.AP.727870_US.Normals.2006-2020.zip</v>
      </c>
    </row>
    <row r="1847" spans="1:10" x14ac:dyDescent="0.25">
      <c r="A1847" t="s">
        <v>35</v>
      </c>
      <c r="B1847" t="s">
        <v>1142</v>
      </c>
      <c r="C1847" t="s">
        <v>1145</v>
      </c>
      <c r="D1847" s="2">
        <v>727883</v>
      </c>
      <c r="E1847" t="s">
        <v>13</v>
      </c>
      <c r="F1847">
        <v>47.033900000000003</v>
      </c>
      <c r="G1847">
        <v>-120.5303</v>
      </c>
      <c r="H1847">
        <v>-8</v>
      </c>
      <c r="I1847">
        <v>538.29999999999995</v>
      </c>
      <c r="J1847" t="str">
        <f>HYPERLINK("https://climate.onebuilding.org/WMO_Region_4_North_and_Central_America/USA_United_States_of_America/WA_Washington/USA_WA_Ellensburg-Bowers.Field.AP.727883_US.Normals.2006-2020.zip")</f>
        <v>https://climate.onebuilding.org/WMO_Region_4_North_and_Central_America/USA_United_States_of_America/WA_Washington/USA_WA_Ellensburg-Bowers.Field.AP.727883_US.Normals.2006-2020.zip</v>
      </c>
    </row>
    <row r="1848" spans="1:10" x14ac:dyDescent="0.25">
      <c r="A1848" t="s">
        <v>35</v>
      </c>
      <c r="B1848" t="s">
        <v>1142</v>
      </c>
      <c r="C1848" t="s">
        <v>1146</v>
      </c>
      <c r="D1848" s="2">
        <v>727900</v>
      </c>
      <c r="E1848" t="s">
        <v>13</v>
      </c>
      <c r="F1848">
        <v>47.3078</v>
      </c>
      <c r="G1848">
        <v>-119.5153</v>
      </c>
      <c r="H1848">
        <v>-8</v>
      </c>
      <c r="I1848">
        <v>381.6</v>
      </c>
      <c r="J1848" t="str">
        <f>HYPERLINK("https://climate.onebuilding.org/WMO_Region_4_North_and_Central_America/USA_United_States_of_America/WA_Washington/USA_WA_Ephrata.Muni.AP.727900_US.Normals.2006-2020.zip")</f>
        <v>https://climate.onebuilding.org/WMO_Region_4_North_and_Central_America/USA_United_States_of_America/WA_Washington/USA_WA_Ephrata.Muni.AP.727900_US.Normals.2006-2020.zip</v>
      </c>
    </row>
    <row r="1849" spans="1:10" x14ac:dyDescent="0.25">
      <c r="A1849" t="s">
        <v>35</v>
      </c>
      <c r="B1849" t="s">
        <v>1142</v>
      </c>
      <c r="C1849" t="s">
        <v>1147</v>
      </c>
      <c r="D1849" s="2">
        <v>727937</v>
      </c>
      <c r="E1849" t="s">
        <v>13</v>
      </c>
      <c r="F1849">
        <v>47.907800000000002</v>
      </c>
      <c r="G1849">
        <v>-122.2803</v>
      </c>
      <c r="H1849">
        <v>-8</v>
      </c>
      <c r="I1849">
        <v>184.7</v>
      </c>
      <c r="J1849" t="str">
        <f>HYPERLINK("https://climate.onebuilding.org/WMO_Region_4_North_and_Central_America/USA_United_States_of_America/WA_Washington/USA_WA_Everett-Paine.Field-Snohomish.County.AP.727937_US.Normals.2006-2020.zip")</f>
        <v>https://climate.onebuilding.org/WMO_Region_4_North_and_Central_America/USA_United_States_of_America/WA_Washington/USA_WA_Everett-Paine.Field-Snohomish.County.AP.727937_US.Normals.2006-2020.zip</v>
      </c>
    </row>
    <row r="1850" spans="1:10" x14ac:dyDescent="0.25">
      <c r="A1850" t="s">
        <v>35</v>
      </c>
      <c r="B1850" t="s">
        <v>1142</v>
      </c>
      <c r="C1850" t="s">
        <v>1148</v>
      </c>
      <c r="D1850" s="2">
        <v>727985</v>
      </c>
      <c r="E1850" t="s">
        <v>13</v>
      </c>
      <c r="F1850">
        <v>48.522199999999998</v>
      </c>
      <c r="G1850">
        <v>-123.0231</v>
      </c>
      <c r="H1850">
        <v>-8</v>
      </c>
      <c r="I1850">
        <v>33.200000000000003</v>
      </c>
      <c r="J1850" t="str">
        <f>HYPERLINK("https://climate.onebuilding.org/WMO_Region_4_North_and_Central_America/USA_United_States_of_America/WA_Washington/USA_WA_Friday.Harbor.AP.727985_US.Normals.2006-2020.zip")</f>
        <v>https://climate.onebuilding.org/WMO_Region_4_North_and_Central_America/USA_United_States_of_America/WA_Washington/USA_WA_Friday.Harbor.AP.727985_US.Normals.2006-2020.zip</v>
      </c>
    </row>
    <row r="1851" spans="1:10" x14ac:dyDescent="0.25">
      <c r="A1851" t="s">
        <v>35</v>
      </c>
      <c r="B1851" t="s">
        <v>1142</v>
      </c>
      <c r="C1851" t="s">
        <v>1149</v>
      </c>
      <c r="D1851" s="2">
        <v>742030</v>
      </c>
      <c r="E1851" t="s">
        <v>13</v>
      </c>
      <c r="F1851">
        <v>47.5139</v>
      </c>
      <c r="G1851">
        <v>-123.812</v>
      </c>
      <c r="H1851">
        <v>-8</v>
      </c>
      <c r="I1851">
        <v>87.2</v>
      </c>
      <c r="J1851" t="str">
        <f>HYPERLINK("https://climate.onebuilding.org/WMO_Region_4_North_and_Central_America/USA_United_States_of_America/WA_Washington/USA_WA_Grays.Harbor-Lake.Quinalt.742030_US.Normals.2006-2020.zip")</f>
        <v>https://climate.onebuilding.org/WMO_Region_4_North_and_Central_America/USA_United_States_of_America/WA_Washington/USA_WA_Grays.Harbor-Lake.Quinalt.742030_US.Normals.2006-2020.zip</v>
      </c>
    </row>
    <row r="1852" spans="1:10" x14ac:dyDescent="0.25">
      <c r="A1852" t="s">
        <v>35</v>
      </c>
      <c r="B1852" t="s">
        <v>1142</v>
      </c>
      <c r="C1852" t="s">
        <v>1150</v>
      </c>
      <c r="D1852" s="2">
        <v>727923</v>
      </c>
      <c r="E1852" t="s">
        <v>13</v>
      </c>
      <c r="F1852">
        <v>46.972799999999999</v>
      </c>
      <c r="G1852">
        <v>-123.9303</v>
      </c>
      <c r="H1852">
        <v>-8</v>
      </c>
      <c r="I1852">
        <v>3.7</v>
      </c>
      <c r="J1852" t="str">
        <f>HYPERLINK("https://climate.onebuilding.org/WMO_Region_4_North_and_Central_America/USA_United_States_of_America/WA_Washington/USA_WA_Hoquiam-Bowerman.AP.727923_US.Normals.2006-2020.zip")</f>
        <v>https://climate.onebuilding.org/WMO_Region_4_North_and_Central_America/USA_United_States_of_America/WA_Washington/USA_WA_Hoquiam-Bowerman.AP.727923_US.Normals.2006-2020.zip</v>
      </c>
    </row>
    <row r="1853" spans="1:10" x14ac:dyDescent="0.25">
      <c r="A1853" t="s">
        <v>35</v>
      </c>
      <c r="B1853" t="s">
        <v>1142</v>
      </c>
      <c r="C1853" t="s">
        <v>1151</v>
      </c>
      <c r="D1853" s="2">
        <v>727924</v>
      </c>
      <c r="E1853" t="s">
        <v>13</v>
      </c>
      <c r="F1853">
        <v>46.133299999999998</v>
      </c>
      <c r="G1853">
        <v>-122.9</v>
      </c>
      <c r="H1853">
        <v>-8</v>
      </c>
      <c r="I1853">
        <v>4.9000000000000004</v>
      </c>
      <c r="J1853" t="str">
        <f>HYPERLINK("https://climate.onebuilding.org/WMO_Region_4_North_and_Central_America/USA_United_States_of_America/WA_Washington/USA_WA_Kelso-Longview-Southwest.Washington.Rgnl.AP.727924_US.Normals.2006-2020.zip")</f>
        <v>https://climate.onebuilding.org/WMO_Region_4_North_and_Central_America/USA_United_States_of_America/WA_Washington/USA_WA_Kelso-Longview-Southwest.Washington.Rgnl.AP.727924_US.Normals.2006-2020.zip</v>
      </c>
    </row>
    <row r="1854" spans="1:10" x14ac:dyDescent="0.25">
      <c r="A1854" t="s">
        <v>35</v>
      </c>
      <c r="B1854" t="s">
        <v>1142</v>
      </c>
      <c r="C1854" t="s">
        <v>1152</v>
      </c>
      <c r="D1854" s="2">
        <v>742020</v>
      </c>
      <c r="E1854" t="s">
        <v>13</v>
      </c>
      <c r="F1854">
        <v>48.540599999999998</v>
      </c>
      <c r="G1854">
        <v>-121.4461</v>
      </c>
      <c r="H1854">
        <v>-8</v>
      </c>
      <c r="I1854">
        <v>124.1</v>
      </c>
      <c r="J1854" t="str">
        <f>HYPERLINK("https://climate.onebuilding.org/WMO_Region_4_North_and_Central_America/USA_United_States_of_America/WA_Washington/USA_WA_Marblemount.Ranger.Station-Lookout.Mountain.742020_US.Normals.2006-2020.zip")</f>
        <v>https://climate.onebuilding.org/WMO_Region_4_North_and_Central_America/USA_United_States_of_America/WA_Washington/USA_WA_Marblemount.Ranger.Station-Lookout.Mountain.742020_US.Normals.2006-2020.zip</v>
      </c>
    </row>
    <row r="1855" spans="1:10" x14ac:dyDescent="0.25">
      <c r="A1855" t="s">
        <v>35</v>
      </c>
      <c r="B1855" t="s">
        <v>1142</v>
      </c>
      <c r="C1855" t="s">
        <v>1153</v>
      </c>
      <c r="D1855" s="2">
        <v>727827</v>
      </c>
      <c r="E1855" t="s">
        <v>13</v>
      </c>
      <c r="F1855">
        <v>47.207799999999999</v>
      </c>
      <c r="G1855">
        <v>-119.3192</v>
      </c>
      <c r="H1855">
        <v>-8</v>
      </c>
      <c r="I1855">
        <v>364.5</v>
      </c>
      <c r="J1855" t="str">
        <f>HYPERLINK("https://climate.onebuilding.org/WMO_Region_4_North_and_Central_America/USA_United_States_of_America/WA_Washington/USA_WA_Moses.Lake-Grant.County.Intl.AP.727827_US.Normals.2006-2020.zip")</f>
        <v>https://climate.onebuilding.org/WMO_Region_4_North_and_Central_America/USA_United_States_of_America/WA_Washington/USA_WA_Moses.Lake-Grant.County.Intl.AP.727827_US.Normals.2006-2020.zip</v>
      </c>
    </row>
    <row r="1856" spans="1:10" x14ac:dyDescent="0.25">
      <c r="A1856" t="s">
        <v>35</v>
      </c>
      <c r="B1856" t="s">
        <v>1142</v>
      </c>
      <c r="C1856" t="s">
        <v>1154</v>
      </c>
      <c r="D1856" s="2">
        <v>720749</v>
      </c>
      <c r="E1856" t="s">
        <v>13</v>
      </c>
      <c r="F1856">
        <v>48.35</v>
      </c>
      <c r="G1856">
        <v>-122.66670000000001</v>
      </c>
      <c r="H1856">
        <v>-8</v>
      </c>
      <c r="I1856">
        <v>14.3</v>
      </c>
      <c r="J1856" t="str">
        <f>HYPERLINK("https://climate.onebuilding.org/WMO_Region_4_North_and_Central_America/USA_United_States_of_America/WA_Washington/USA_WA_Oak.Harbor-NAS.Whidbey.Island-Ault.Field.720749_US.Normals.2006-2020.zip")</f>
        <v>https://climate.onebuilding.org/WMO_Region_4_North_and_Central_America/USA_United_States_of_America/WA_Washington/USA_WA_Oak.Harbor-NAS.Whidbey.Island-Ault.Field.720749_US.Normals.2006-2020.zip</v>
      </c>
    </row>
    <row r="1857" spans="1:10" x14ac:dyDescent="0.25">
      <c r="A1857" t="s">
        <v>35</v>
      </c>
      <c r="B1857" t="s">
        <v>1142</v>
      </c>
      <c r="C1857" t="s">
        <v>1155</v>
      </c>
      <c r="D1857" s="2">
        <v>727920</v>
      </c>
      <c r="E1857" t="s">
        <v>13</v>
      </c>
      <c r="F1857">
        <v>46.973300000000002</v>
      </c>
      <c r="G1857">
        <v>-122.9033</v>
      </c>
      <c r="H1857">
        <v>-8</v>
      </c>
      <c r="I1857">
        <v>57.3</v>
      </c>
      <c r="J1857" t="str">
        <f>HYPERLINK("https://climate.onebuilding.org/WMO_Region_4_North_and_Central_America/USA_United_States_of_America/WA_Washington/USA_WA_Olympia.Rgnl.AP.727920_US.Normals.1981-2010.zip")</f>
        <v>https://climate.onebuilding.org/WMO_Region_4_North_and_Central_America/USA_United_States_of_America/WA_Washington/USA_WA_Olympia.Rgnl.AP.727920_US.Normals.1981-2010.zip</v>
      </c>
    </row>
    <row r="1858" spans="1:10" x14ac:dyDescent="0.25">
      <c r="A1858" t="s">
        <v>35</v>
      </c>
      <c r="B1858" t="s">
        <v>1142</v>
      </c>
      <c r="C1858" t="s">
        <v>1155</v>
      </c>
      <c r="D1858" s="2">
        <v>727920</v>
      </c>
      <c r="E1858" t="s">
        <v>13</v>
      </c>
      <c r="F1858">
        <v>46.973300000000002</v>
      </c>
      <c r="G1858">
        <v>-122.9033</v>
      </c>
      <c r="H1858">
        <v>-8</v>
      </c>
      <c r="I1858">
        <v>57.3</v>
      </c>
      <c r="J1858" t="str">
        <f>HYPERLINK("https://climate.onebuilding.org/WMO_Region_4_North_and_Central_America/USA_United_States_of_America/WA_Washington/USA_WA_Olympia.Rgnl.AP.727920_US.Normals.1991-2020.zip")</f>
        <v>https://climate.onebuilding.org/WMO_Region_4_North_and_Central_America/USA_United_States_of_America/WA_Washington/USA_WA_Olympia.Rgnl.AP.727920_US.Normals.1991-2020.zip</v>
      </c>
    </row>
    <row r="1859" spans="1:10" x14ac:dyDescent="0.25">
      <c r="A1859" t="s">
        <v>35</v>
      </c>
      <c r="B1859" t="s">
        <v>1142</v>
      </c>
      <c r="C1859" t="s">
        <v>1155</v>
      </c>
      <c r="D1859" s="2">
        <v>727920</v>
      </c>
      <c r="E1859" t="s">
        <v>13</v>
      </c>
      <c r="F1859">
        <v>46.973300000000002</v>
      </c>
      <c r="G1859">
        <v>-122.9033</v>
      </c>
      <c r="H1859">
        <v>-8</v>
      </c>
      <c r="I1859">
        <v>57.3</v>
      </c>
      <c r="J1859" t="str">
        <f>HYPERLINK("https://climate.onebuilding.org/WMO_Region_4_North_and_Central_America/USA_United_States_of_America/WA_Washington/USA_WA_Olympia.Rgnl.AP.727920_US.Normals.2006-2020.zip")</f>
        <v>https://climate.onebuilding.org/WMO_Region_4_North_and_Central_America/USA_United_States_of_America/WA_Washington/USA_WA_Olympia.Rgnl.AP.727920_US.Normals.2006-2020.zip</v>
      </c>
    </row>
    <row r="1860" spans="1:10" x14ac:dyDescent="0.25">
      <c r="A1860" t="s">
        <v>35</v>
      </c>
      <c r="B1860" t="s">
        <v>1142</v>
      </c>
      <c r="C1860" t="s">
        <v>1156</v>
      </c>
      <c r="D1860" s="2">
        <v>727890</v>
      </c>
      <c r="E1860" t="s">
        <v>13</v>
      </c>
      <c r="F1860">
        <v>48.460799999999999</v>
      </c>
      <c r="G1860">
        <v>-119.5167</v>
      </c>
      <c r="H1860">
        <v>-8</v>
      </c>
      <c r="I1860">
        <v>395</v>
      </c>
      <c r="J1860" t="str">
        <f>HYPERLINK("https://climate.onebuilding.org/WMO_Region_4_North_and_Central_America/USA_United_States_of_America/WA_Washington/USA_WA_Omak.AP.727890_US.Normals.2006-2020.zip")</f>
        <v>https://climate.onebuilding.org/WMO_Region_4_North_and_Central_America/USA_United_States_of_America/WA_Washington/USA_WA_Omak.AP.727890_US.Normals.2006-2020.zip</v>
      </c>
    </row>
    <row r="1861" spans="1:10" x14ac:dyDescent="0.25">
      <c r="A1861" t="s">
        <v>35</v>
      </c>
      <c r="B1861" t="s">
        <v>1142</v>
      </c>
      <c r="C1861" t="s">
        <v>1157</v>
      </c>
      <c r="D1861" s="2">
        <v>727845</v>
      </c>
      <c r="E1861" t="s">
        <v>13</v>
      </c>
      <c r="F1861">
        <v>46.2667</v>
      </c>
      <c r="G1861">
        <v>-119.11669999999999</v>
      </c>
      <c r="H1861">
        <v>-8</v>
      </c>
      <c r="I1861">
        <v>124.1</v>
      </c>
      <c r="J1861" t="str">
        <f>HYPERLINK("https://climate.onebuilding.org/WMO_Region_4_North_and_Central_America/USA_United_States_of_America/WA_Washington/USA_WA_Pasco-Tri.Cities.AP.727845_US.Normals.2006-2020.zip")</f>
        <v>https://climate.onebuilding.org/WMO_Region_4_North_and_Central_America/USA_United_States_of_America/WA_Washington/USA_WA_Pasco-Tri.Cities.AP.727845_US.Normals.2006-2020.zip</v>
      </c>
    </row>
    <row r="1862" spans="1:10" x14ac:dyDescent="0.25">
      <c r="A1862" t="s">
        <v>35</v>
      </c>
      <c r="B1862" t="s">
        <v>1142</v>
      </c>
      <c r="C1862" t="s">
        <v>1158</v>
      </c>
      <c r="D1862" s="2">
        <v>727885</v>
      </c>
      <c r="E1862" t="s">
        <v>13</v>
      </c>
      <c r="F1862">
        <v>48.1203</v>
      </c>
      <c r="G1862">
        <v>-123.4983</v>
      </c>
      <c r="H1862">
        <v>-8</v>
      </c>
      <c r="I1862">
        <v>87.8</v>
      </c>
      <c r="J1862" t="str">
        <f>HYPERLINK("https://climate.onebuilding.org/WMO_Region_4_North_and_Central_America/USA_United_States_of_America/WA_Washington/USA_WA_Port.Angeles-Fairchild.Intl.AP.727885_US.Normals.2006-2020.zip")</f>
        <v>https://climate.onebuilding.org/WMO_Region_4_North_and_Central_America/USA_United_States_of_America/WA_Washington/USA_WA_Port.Angeles-Fairchild.Intl.AP.727885_US.Normals.2006-2020.zip</v>
      </c>
    </row>
    <row r="1863" spans="1:10" x14ac:dyDescent="0.25">
      <c r="A1863" t="s">
        <v>35</v>
      </c>
      <c r="B1863" t="s">
        <v>1142</v>
      </c>
      <c r="C1863" t="s">
        <v>1159</v>
      </c>
      <c r="D1863" s="2">
        <v>727857</v>
      </c>
      <c r="E1863" t="s">
        <v>13</v>
      </c>
      <c r="F1863">
        <v>46.743899999999996</v>
      </c>
      <c r="G1863">
        <v>-117.1086</v>
      </c>
      <c r="H1863">
        <v>-8</v>
      </c>
      <c r="I1863">
        <v>777.5</v>
      </c>
      <c r="J1863" t="str">
        <f>HYPERLINK("https://climate.onebuilding.org/WMO_Region_4_North_and_Central_America/USA_United_States_of_America/WA_Washington/USA_WA_Pullman-Moscow.Rgnl.AP.727857_US.Normals.2006-2020.zip")</f>
        <v>https://climate.onebuilding.org/WMO_Region_4_North_and_Central_America/USA_United_States_of_America/WA_Washington/USA_WA_Pullman-Moscow.Rgnl.AP.727857_US.Normals.2006-2020.zip</v>
      </c>
    </row>
    <row r="1864" spans="1:10" x14ac:dyDescent="0.25">
      <c r="A1864" t="s">
        <v>35</v>
      </c>
      <c r="B1864" t="s">
        <v>1142</v>
      </c>
      <c r="C1864" t="s">
        <v>1160</v>
      </c>
      <c r="D1864" s="2">
        <v>727970</v>
      </c>
      <c r="E1864" t="s">
        <v>13</v>
      </c>
      <c r="F1864">
        <v>47.9375</v>
      </c>
      <c r="G1864">
        <v>-124.55500000000001</v>
      </c>
      <c r="H1864">
        <v>-8</v>
      </c>
      <c r="I1864">
        <v>56.4</v>
      </c>
      <c r="J1864" t="str">
        <f>HYPERLINK("https://climate.onebuilding.org/WMO_Region_4_North_and_Central_America/USA_United_States_of_America/WA_Washington/USA_WA_Quillayute.AP.727970_US.Normals.1981-2010.zip")</f>
        <v>https://climate.onebuilding.org/WMO_Region_4_North_and_Central_America/USA_United_States_of_America/WA_Washington/USA_WA_Quillayute.AP.727970_US.Normals.1981-2010.zip</v>
      </c>
    </row>
    <row r="1865" spans="1:10" x14ac:dyDescent="0.25">
      <c r="A1865" t="s">
        <v>35</v>
      </c>
      <c r="B1865" t="s">
        <v>1142</v>
      </c>
      <c r="C1865" t="s">
        <v>1160</v>
      </c>
      <c r="D1865" s="2">
        <v>727970</v>
      </c>
      <c r="E1865" t="s">
        <v>13</v>
      </c>
      <c r="F1865">
        <v>47.9375</v>
      </c>
      <c r="G1865">
        <v>-124.55500000000001</v>
      </c>
      <c r="H1865">
        <v>-8</v>
      </c>
      <c r="I1865">
        <v>56.4</v>
      </c>
      <c r="J1865" t="str">
        <f>HYPERLINK("https://climate.onebuilding.org/WMO_Region_4_North_and_Central_America/USA_United_States_of_America/WA_Washington/USA_WA_Quillayute.AP.727970_US.Normals.1991-2020.zip")</f>
        <v>https://climate.onebuilding.org/WMO_Region_4_North_and_Central_America/USA_United_States_of_America/WA_Washington/USA_WA_Quillayute.AP.727970_US.Normals.1991-2020.zip</v>
      </c>
    </row>
    <row r="1866" spans="1:10" x14ac:dyDescent="0.25">
      <c r="A1866" t="s">
        <v>35</v>
      </c>
      <c r="B1866" t="s">
        <v>1142</v>
      </c>
      <c r="C1866" t="s">
        <v>1160</v>
      </c>
      <c r="D1866" s="2">
        <v>727970</v>
      </c>
      <c r="E1866" t="s">
        <v>13</v>
      </c>
      <c r="F1866">
        <v>47.9375</v>
      </c>
      <c r="G1866">
        <v>-124.55500000000001</v>
      </c>
      <c r="H1866">
        <v>-8</v>
      </c>
      <c r="I1866">
        <v>56.4</v>
      </c>
      <c r="J1866" t="str">
        <f>HYPERLINK("https://climate.onebuilding.org/WMO_Region_4_North_and_Central_America/USA_United_States_of_America/WA_Washington/USA_WA_Quillayute.AP.727970_US.Normals.2006-2020.zip")</f>
        <v>https://climate.onebuilding.org/WMO_Region_4_North_and_Central_America/USA_United_States_of_America/WA_Washington/USA_WA_Quillayute.AP.727970_US.Normals.2006-2020.zip</v>
      </c>
    </row>
    <row r="1867" spans="1:10" x14ac:dyDescent="0.25">
      <c r="A1867" t="s">
        <v>35</v>
      </c>
      <c r="B1867" t="s">
        <v>1142</v>
      </c>
      <c r="C1867" t="s">
        <v>1161</v>
      </c>
      <c r="D1867" s="2">
        <v>727934</v>
      </c>
      <c r="E1867" t="s">
        <v>13</v>
      </c>
      <c r="F1867">
        <v>47.493299999999998</v>
      </c>
      <c r="G1867">
        <v>-122.2144</v>
      </c>
      <c r="H1867">
        <v>-8</v>
      </c>
      <c r="I1867">
        <v>8.8000000000000007</v>
      </c>
      <c r="J1867" t="str">
        <f>HYPERLINK("https://climate.onebuilding.org/WMO_Region_4_North_and_Central_America/USA_United_States_of_America/WA_Washington/USA_WA_Renton.Muni.AP.727934_US.Normals.2006-2020.zip")</f>
        <v>https://climate.onebuilding.org/WMO_Region_4_North_and_Central_America/USA_United_States_of_America/WA_Washington/USA_WA_Renton.Muni.AP.727934_US.Normals.2006-2020.zip</v>
      </c>
    </row>
    <row r="1868" spans="1:10" x14ac:dyDescent="0.25">
      <c r="A1868" t="s">
        <v>35</v>
      </c>
      <c r="B1868" t="s">
        <v>1142</v>
      </c>
      <c r="C1868" t="s">
        <v>1162</v>
      </c>
      <c r="D1868" s="2">
        <v>727935</v>
      </c>
      <c r="E1868" t="s">
        <v>13</v>
      </c>
      <c r="F1868">
        <v>47.530299999999997</v>
      </c>
      <c r="G1868">
        <v>-122.3008</v>
      </c>
      <c r="H1868">
        <v>-8</v>
      </c>
      <c r="I1868">
        <v>6.1</v>
      </c>
      <c r="J1868" t="str">
        <f>HYPERLINK("https://climate.onebuilding.org/WMO_Region_4_North_and_Central_America/USA_United_States_of_America/WA_Washington/USA_WA_Seattle-King.County.Intl.AP-Boeing.Field.727935_US.Normals.1981-2010.zip")</f>
        <v>https://climate.onebuilding.org/WMO_Region_4_North_and_Central_America/USA_United_States_of_America/WA_Washington/USA_WA_Seattle-King.County.Intl.AP-Boeing.Field.727935_US.Normals.1981-2010.zip</v>
      </c>
    </row>
    <row r="1869" spans="1:10" x14ac:dyDescent="0.25">
      <c r="A1869" t="s">
        <v>35</v>
      </c>
      <c r="B1869" t="s">
        <v>1142</v>
      </c>
      <c r="C1869" t="s">
        <v>1162</v>
      </c>
      <c r="D1869" s="2">
        <v>727935</v>
      </c>
      <c r="E1869" t="s">
        <v>13</v>
      </c>
      <c r="F1869">
        <v>47.530299999999997</v>
      </c>
      <c r="G1869">
        <v>-122.3008</v>
      </c>
      <c r="H1869">
        <v>-8</v>
      </c>
      <c r="I1869">
        <v>6.1</v>
      </c>
      <c r="J1869" t="str">
        <f>HYPERLINK("https://climate.onebuilding.org/WMO_Region_4_North_and_Central_America/USA_United_States_of_America/WA_Washington/USA_WA_Seattle-King.County.Intl.AP-Boeing.Field.727935_US.Normals.1991-2020.zip")</f>
        <v>https://climate.onebuilding.org/WMO_Region_4_North_and_Central_America/USA_United_States_of_America/WA_Washington/USA_WA_Seattle-King.County.Intl.AP-Boeing.Field.727935_US.Normals.1991-2020.zip</v>
      </c>
    </row>
    <row r="1870" spans="1:10" x14ac:dyDescent="0.25">
      <c r="A1870" t="s">
        <v>35</v>
      </c>
      <c r="B1870" t="s">
        <v>1142</v>
      </c>
      <c r="C1870" t="s">
        <v>1162</v>
      </c>
      <c r="D1870" s="2">
        <v>727935</v>
      </c>
      <c r="E1870" t="s">
        <v>13</v>
      </c>
      <c r="F1870">
        <v>47.530299999999997</v>
      </c>
      <c r="G1870">
        <v>-122.3008</v>
      </c>
      <c r="H1870">
        <v>-8</v>
      </c>
      <c r="I1870">
        <v>6.1</v>
      </c>
      <c r="J1870" t="str">
        <f>HYPERLINK("https://climate.onebuilding.org/WMO_Region_4_North_and_Central_America/USA_United_States_of_America/WA_Washington/USA_WA_Seattle-King.County.Intl.AP-Boeing.Field.727935_US.Normals.2006-2020.zip")</f>
        <v>https://climate.onebuilding.org/WMO_Region_4_North_and_Central_America/USA_United_States_of_America/WA_Washington/USA_WA_Seattle-King.County.Intl.AP-Boeing.Field.727935_US.Normals.2006-2020.zip</v>
      </c>
    </row>
    <row r="1871" spans="1:10" x14ac:dyDescent="0.25">
      <c r="A1871" t="s">
        <v>35</v>
      </c>
      <c r="B1871" t="s">
        <v>1142</v>
      </c>
      <c r="C1871" t="s">
        <v>1163</v>
      </c>
      <c r="D1871" s="2">
        <v>727930</v>
      </c>
      <c r="E1871" t="s">
        <v>13</v>
      </c>
      <c r="F1871">
        <v>47.444400000000002</v>
      </c>
      <c r="G1871">
        <v>-122.3139</v>
      </c>
      <c r="H1871">
        <v>-8</v>
      </c>
      <c r="I1871">
        <v>112.8</v>
      </c>
      <c r="J1871" t="str">
        <f>HYPERLINK("https://climate.onebuilding.org/WMO_Region_4_North_and_Central_America/USA_United_States_of_America/WA_Washington/USA_WA_Seattle-Tacoma.Intl.AP.727930_US.Normals.1981-2010.zip")</f>
        <v>https://climate.onebuilding.org/WMO_Region_4_North_and_Central_America/USA_United_States_of_America/WA_Washington/USA_WA_Seattle-Tacoma.Intl.AP.727930_US.Normals.1981-2010.zip</v>
      </c>
    </row>
    <row r="1872" spans="1:10" x14ac:dyDescent="0.25">
      <c r="A1872" t="s">
        <v>35</v>
      </c>
      <c r="B1872" t="s">
        <v>1142</v>
      </c>
      <c r="C1872" t="s">
        <v>1163</v>
      </c>
      <c r="D1872" s="2">
        <v>727930</v>
      </c>
      <c r="E1872" t="s">
        <v>13</v>
      </c>
      <c r="F1872">
        <v>47.444400000000002</v>
      </c>
      <c r="G1872">
        <v>-122.3139</v>
      </c>
      <c r="H1872">
        <v>-8</v>
      </c>
      <c r="I1872">
        <v>112.8</v>
      </c>
      <c r="J1872" t="str">
        <f>HYPERLINK("https://climate.onebuilding.org/WMO_Region_4_North_and_Central_America/USA_United_States_of_America/WA_Washington/USA_WA_Seattle-Tacoma.Intl.AP.727930_US.Normals.1991-2020.zip")</f>
        <v>https://climate.onebuilding.org/WMO_Region_4_North_and_Central_America/USA_United_States_of_America/WA_Washington/USA_WA_Seattle-Tacoma.Intl.AP.727930_US.Normals.1991-2020.zip</v>
      </c>
    </row>
    <row r="1873" spans="1:10" x14ac:dyDescent="0.25">
      <c r="A1873" t="s">
        <v>35</v>
      </c>
      <c r="B1873" t="s">
        <v>1142</v>
      </c>
      <c r="C1873" t="s">
        <v>1163</v>
      </c>
      <c r="D1873" s="2">
        <v>727930</v>
      </c>
      <c r="E1873" t="s">
        <v>13</v>
      </c>
      <c r="F1873">
        <v>47.444400000000002</v>
      </c>
      <c r="G1873">
        <v>-122.3139</v>
      </c>
      <c r="H1873">
        <v>-8</v>
      </c>
      <c r="I1873">
        <v>112.8</v>
      </c>
      <c r="J1873" t="str">
        <f>HYPERLINK("https://climate.onebuilding.org/WMO_Region_4_North_and_Central_America/USA_United_States_of_America/WA_Washington/USA_WA_Seattle-Tacoma.Intl.AP.727930_US.Normals.2006-2020.zip")</f>
        <v>https://climate.onebuilding.org/WMO_Region_4_North_and_Central_America/USA_United_States_of_America/WA_Washington/USA_WA_Seattle-Tacoma.Intl.AP.727930_US.Normals.2006-2020.zip</v>
      </c>
    </row>
    <row r="1874" spans="1:10" x14ac:dyDescent="0.25">
      <c r="A1874" t="s">
        <v>35</v>
      </c>
      <c r="B1874" t="s">
        <v>1142</v>
      </c>
      <c r="C1874" t="s">
        <v>1164</v>
      </c>
      <c r="D1874" s="2">
        <v>727925</v>
      </c>
      <c r="E1874" t="s">
        <v>13</v>
      </c>
      <c r="F1874">
        <v>47.238100000000003</v>
      </c>
      <c r="G1874">
        <v>-123.1408</v>
      </c>
      <c r="H1874">
        <v>-8</v>
      </c>
      <c r="I1874">
        <v>82.6</v>
      </c>
      <c r="J1874" t="str">
        <f>HYPERLINK("https://climate.onebuilding.org/WMO_Region_4_North_and_Central_America/USA_United_States_of_America/WA_Washington/USA_WA_Shelton-Sanderson.Field.AP.727925_US.Normals.2006-2020.zip")</f>
        <v>https://climate.onebuilding.org/WMO_Region_4_North_and_Central_America/USA_United_States_of_America/WA_Washington/USA_WA_Shelton-Sanderson.Field.AP.727925_US.Normals.2006-2020.zip</v>
      </c>
    </row>
    <row r="1875" spans="1:10" x14ac:dyDescent="0.25">
      <c r="A1875" t="s">
        <v>35</v>
      </c>
      <c r="B1875" t="s">
        <v>1142</v>
      </c>
      <c r="C1875" t="s">
        <v>1165</v>
      </c>
      <c r="D1875" s="2">
        <v>727855</v>
      </c>
      <c r="E1875" t="s">
        <v>13</v>
      </c>
      <c r="F1875">
        <v>47.633299999999998</v>
      </c>
      <c r="G1875">
        <v>-117.65</v>
      </c>
      <c r="H1875">
        <v>-8</v>
      </c>
      <c r="I1875">
        <v>743.1</v>
      </c>
      <c r="J1875" t="str">
        <f>HYPERLINK("https://climate.onebuilding.org/WMO_Region_4_North_and_Central_America/USA_United_States_of_America/WA_Washington/USA_WA_Spokane-Fairchild.AFB.727855_US.Normals.1981-2010.zip")</f>
        <v>https://climate.onebuilding.org/WMO_Region_4_North_and_Central_America/USA_United_States_of_America/WA_Washington/USA_WA_Spokane-Fairchild.AFB.727855_US.Normals.1981-2010.zip</v>
      </c>
    </row>
    <row r="1876" spans="1:10" x14ac:dyDescent="0.25">
      <c r="A1876" t="s">
        <v>35</v>
      </c>
      <c r="B1876" t="s">
        <v>1142</v>
      </c>
      <c r="C1876" t="s">
        <v>1165</v>
      </c>
      <c r="D1876" s="2">
        <v>727855</v>
      </c>
      <c r="E1876" t="s">
        <v>13</v>
      </c>
      <c r="F1876">
        <v>47.633299999999998</v>
      </c>
      <c r="G1876">
        <v>-117.65</v>
      </c>
      <c r="H1876">
        <v>-8</v>
      </c>
      <c r="I1876">
        <v>743.1</v>
      </c>
      <c r="J1876" t="str">
        <f>HYPERLINK("https://climate.onebuilding.org/WMO_Region_4_North_and_Central_America/USA_United_States_of_America/WA_Washington/USA_WA_Spokane-Fairchild.AFB.727855_US.Normals.1991-2020.zip")</f>
        <v>https://climate.onebuilding.org/WMO_Region_4_North_and_Central_America/USA_United_States_of_America/WA_Washington/USA_WA_Spokane-Fairchild.AFB.727855_US.Normals.1991-2020.zip</v>
      </c>
    </row>
    <row r="1877" spans="1:10" x14ac:dyDescent="0.25">
      <c r="A1877" t="s">
        <v>35</v>
      </c>
      <c r="B1877" t="s">
        <v>1142</v>
      </c>
      <c r="C1877" t="s">
        <v>1165</v>
      </c>
      <c r="D1877" s="2">
        <v>727855</v>
      </c>
      <c r="E1877" t="s">
        <v>13</v>
      </c>
      <c r="F1877">
        <v>47.633299999999998</v>
      </c>
      <c r="G1877">
        <v>-117.65</v>
      </c>
      <c r="H1877">
        <v>-8</v>
      </c>
      <c r="I1877">
        <v>743.1</v>
      </c>
      <c r="J1877" t="str">
        <f>HYPERLINK("https://climate.onebuilding.org/WMO_Region_4_North_and_Central_America/USA_United_States_of_America/WA_Washington/USA_WA_Spokane-Fairchild.AFB.727855_US.Normals.2006-2020.zip")</f>
        <v>https://climate.onebuilding.org/WMO_Region_4_North_and_Central_America/USA_United_States_of_America/WA_Washington/USA_WA_Spokane-Fairchild.AFB.727855_US.Normals.2006-2020.zip</v>
      </c>
    </row>
    <row r="1878" spans="1:10" x14ac:dyDescent="0.25">
      <c r="A1878" t="s">
        <v>35</v>
      </c>
      <c r="B1878" t="s">
        <v>1142</v>
      </c>
      <c r="C1878" t="s">
        <v>1166</v>
      </c>
      <c r="D1878" s="2">
        <v>727856</v>
      </c>
      <c r="E1878" t="s">
        <v>13</v>
      </c>
      <c r="F1878">
        <v>47.683100000000003</v>
      </c>
      <c r="G1878">
        <v>-117.3214</v>
      </c>
      <c r="H1878">
        <v>-8</v>
      </c>
      <c r="I1878">
        <v>595.29999999999995</v>
      </c>
      <c r="J1878" t="str">
        <f>HYPERLINK("https://climate.onebuilding.org/WMO_Region_4_North_and_Central_America/USA_United_States_of_America/WA_Washington/USA_WA_Spokane-Felts.Field.727856_US.Normals.1981-2010.zip")</f>
        <v>https://climate.onebuilding.org/WMO_Region_4_North_and_Central_America/USA_United_States_of_America/WA_Washington/USA_WA_Spokane-Felts.Field.727856_US.Normals.1981-2010.zip</v>
      </c>
    </row>
    <row r="1879" spans="1:10" x14ac:dyDescent="0.25">
      <c r="A1879" t="s">
        <v>35</v>
      </c>
      <c r="B1879" t="s">
        <v>1142</v>
      </c>
      <c r="C1879" t="s">
        <v>1166</v>
      </c>
      <c r="D1879" s="2">
        <v>727856</v>
      </c>
      <c r="E1879" t="s">
        <v>13</v>
      </c>
      <c r="F1879">
        <v>47.683100000000003</v>
      </c>
      <c r="G1879">
        <v>-117.3214</v>
      </c>
      <c r="H1879">
        <v>-8</v>
      </c>
      <c r="I1879">
        <v>595.29999999999995</v>
      </c>
      <c r="J1879" t="str">
        <f>HYPERLINK("https://climate.onebuilding.org/WMO_Region_4_North_and_Central_America/USA_United_States_of_America/WA_Washington/USA_WA_Spokane-Felts.Field.727856_US.Normals.1991-2020.zip")</f>
        <v>https://climate.onebuilding.org/WMO_Region_4_North_and_Central_America/USA_United_States_of_America/WA_Washington/USA_WA_Spokane-Felts.Field.727856_US.Normals.1991-2020.zip</v>
      </c>
    </row>
    <row r="1880" spans="1:10" x14ac:dyDescent="0.25">
      <c r="A1880" t="s">
        <v>35</v>
      </c>
      <c r="B1880" t="s">
        <v>1142</v>
      </c>
      <c r="C1880" t="s">
        <v>1166</v>
      </c>
      <c r="D1880" s="2">
        <v>727856</v>
      </c>
      <c r="E1880" t="s">
        <v>13</v>
      </c>
      <c r="F1880">
        <v>47.683100000000003</v>
      </c>
      <c r="G1880">
        <v>-117.3214</v>
      </c>
      <c r="H1880">
        <v>-8</v>
      </c>
      <c r="I1880">
        <v>595.29999999999995</v>
      </c>
      <c r="J1880" t="str">
        <f>HYPERLINK("https://climate.onebuilding.org/WMO_Region_4_North_and_Central_America/USA_United_States_of_America/WA_Washington/USA_WA_Spokane-Felts.Field.727856_US.Normals.2006-2020.zip")</f>
        <v>https://climate.onebuilding.org/WMO_Region_4_North_and_Central_America/USA_United_States_of_America/WA_Washington/USA_WA_Spokane-Felts.Field.727856_US.Normals.2006-2020.zip</v>
      </c>
    </row>
    <row r="1881" spans="1:10" x14ac:dyDescent="0.25">
      <c r="A1881" t="s">
        <v>35</v>
      </c>
      <c r="B1881" t="s">
        <v>1142</v>
      </c>
      <c r="C1881" t="s">
        <v>1167</v>
      </c>
      <c r="D1881" s="2">
        <v>727850</v>
      </c>
      <c r="E1881" t="s">
        <v>13</v>
      </c>
      <c r="F1881">
        <v>47.621699999999997</v>
      </c>
      <c r="G1881">
        <v>-117.52809999999999</v>
      </c>
      <c r="H1881">
        <v>-8</v>
      </c>
      <c r="I1881">
        <v>717.2</v>
      </c>
      <c r="J1881" t="str">
        <f>HYPERLINK("https://climate.onebuilding.org/WMO_Region_4_North_and_Central_America/USA_United_States_of_America/WA_Washington/USA_WA_Spokane.Intl.AP.727850_US.Normals.1981-2010.zip")</f>
        <v>https://climate.onebuilding.org/WMO_Region_4_North_and_Central_America/USA_United_States_of_America/WA_Washington/USA_WA_Spokane.Intl.AP.727850_US.Normals.1981-2010.zip</v>
      </c>
    </row>
    <row r="1882" spans="1:10" x14ac:dyDescent="0.25">
      <c r="A1882" t="s">
        <v>35</v>
      </c>
      <c r="B1882" t="s">
        <v>1142</v>
      </c>
      <c r="C1882" t="s">
        <v>1167</v>
      </c>
      <c r="D1882" s="2">
        <v>727850</v>
      </c>
      <c r="E1882" t="s">
        <v>13</v>
      </c>
      <c r="F1882">
        <v>47.621699999999997</v>
      </c>
      <c r="G1882">
        <v>-117.52809999999999</v>
      </c>
      <c r="H1882">
        <v>-8</v>
      </c>
      <c r="I1882">
        <v>717.2</v>
      </c>
      <c r="J1882" t="str">
        <f>HYPERLINK("https://climate.onebuilding.org/WMO_Region_4_North_and_Central_America/USA_United_States_of_America/WA_Washington/USA_WA_Spokane.Intl.AP.727850_US.Normals.1991-2020.zip")</f>
        <v>https://climate.onebuilding.org/WMO_Region_4_North_and_Central_America/USA_United_States_of_America/WA_Washington/USA_WA_Spokane.Intl.AP.727850_US.Normals.1991-2020.zip</v>
      </c>
    </row>
    <row r="1883" spans="1:10" x14ac:dyDescent="0.25">
      <c r="A1883" t="s">
        <v>35</v>
      </c>
      <c r="B1883" t="s">
        <v>1142</v>
      </c>
      <c r="C1883" t="s">
        <v>1167</v>
      </c>
      <c r="D1883" s="2">
        <v>727850</v>
      </c>
      <c r="E1883" t="s">
        <v>13</v>
      </c>
      <c r="F1883">
        <v>47.621699999999997</v>
      </c>
      <c r="G1883">
        <v>-117.52809999999999</v>
      </c>
      <c r="H1883">
        <v>-8</v>
      </c>
      <c r="I1883">
        <v>717.2</v>
      </c>
      <c r="J1883" t="str">
        <f>HYPERLINK("https://climate.onebuilding.org/WMO_Region_4_North_and_Central_America/USA_United_States_of_America/WA_Washington/USA_WA_Spokane.Intl.AP.727850_US.Normals.2006-2020.zip")</f>
        <v>https://climate.onebuilding.org/WMO_Region_4_North_and_Central_America/USA_United_States_of_America/WA_Washington/USA_WA_Spokane.Intl.AP.727850_US.Normals.2006-2020.zip</v>
      </c>
    </row>
    <row r="1884" spans="1:10" x14ac:dyDescent="0.25">
      <c r="A1884" t="s">
        <v>35</v>
      </c>
      <c r="B1884" t="s">
        <v>1142</v>
      </c>
      <c r="C1884" t="s">
        <v>1168</v>
      </c>
      <c r="D1884" s="2">
        <v>742070</v>
      </c>
      <c r="E1884" t="s">
        <v>13</v>
      </c>
      <c r="F1884">
        <v>47.083300000000001</v>
      </c>
      <c r="G1884">
        <v>-122.58329999999999</v>
      </c>
      <c r="H1884">
        <v>-8</v>
      </c>
      <c r="I1884">
        <v>89.9</v>
      </c>
      <c r="J1884" t="str">
        <f>HYPERLINK("https://climate.onebuilding.org/WMO_Region_4_North_and_Central_America/USA_United_States_of_America/WA_Washington/USA_WA_Tacoma-JB.Lewis-McChord-Gray.AAF.742070_US.Normals.2006-2020.zip")</f>
        <v>https://climate.onebuilding.org/WMO_Region_4_North_and_Central_America/USA_United_States_of_America/WA_Washington/USA_WA_Tacoma-JB.Lewis-McChord-Gray.AAF.742070_US.Normals.2006-2020.zip</v>
      </c>
    </row>
    <row r="1885" spans="1:10" x14ac:dyDescent="0.25">
      <c r="A1885" t="s">
        <v>35</v>
      </c>
      <c r="B1885" t="s">
        <v>1142</v>
      </c>
      <c r="C1885" t="s">
        <v>1169</v>
      </c>
      <c r="D1885" s="2">
        <v>742060</v>
      </c>
      <c r="E1885" t="s">
        <v>13</v>
      </c>
      <c r="F1885">
        <v>47.15</v>
      </c>
      <c r="G1885">
        <v>-122.4833</v>
      </c>
      <c r="H1885">
        <v>-8</v>
      </c>
      <c r="I1885">
        <v>88.1</v>
      </c>
      <c r="J1885" t="str">
        <f>HYPERLINK("https://climate.onebuilding.org/WMO_Region_4_North_and_Central_America/USA_United_States_of_America/WA_Washington/USA_WA_Tacoma-JB.Lewis-McChord-McChord.Field.742060_US.Normals.1981-2010.zip")</f>
        <v>https://climate.onebuilding.org/WMO_Region_4_North_and_Central_America/USA_United_States_of_America/WA_Washington/USA_WA_Tacoma-JB.Lewis-McChord-McChord.Field.742060_US.Normals.1981-2010.zip</v>
      </c>
    </row>
    <row r="1886" spans="1:10" x14ac:dyDescent="0.25">
      <c r="A1886" t="s">
        <v>35</v>
      </c>
      <c r="B1886" t="s">
        <v>1142</v>
      </c>
      <c r="C1886" t="s">
        <v>1169</v>
      </c>
      <c r="D1886" s="2">
        <v>742060</v>
      </c>
      <c r="E1886" t="s">
        <v>13</v>
      </c>
      <c r="F1886">
        <v>47.15</v>
      </c>
      <c r="G1886">
        <v>-122.4833</v>
      </c>
      <c r="H1886">
        <v>-8</v>
      </c>
      <c r="I1886">
        <v>88.1</v>
      </c>
      <c r="J1886" t="str">
        <f>HYPERLINK("https://climate.onebuilding.org/WMO_Region_4_North_and_Central_America/USA_United_States_of_America/WA_Washington/USA_WA_Tacoma-JB.Lewis-McChord-McChord.Field.742060_US.Normals.1991-2020.zip")</f>
        <v>https://climate.onebuilding.org/WMO_Region_4_North_and_Central_America/USA_United_States_of_America/WA_Washington/USA_WA_Tacoma-JB.Lewis-McChord-McChord.Field.742060_US.Normals.1991-2020.zip</v>
      </c>
    </row>
    <row r="1887" spans="1:10" x14ac:dyDescent="0.25">
      <c r="A1887" t="s">
        <v>35</v>
      </c>
      <c r="B1887" t="s">
        <v>1142</v>
      </c>
      <c r="C1887" t="s">
        <v>1169</v>
      </c>
      <c r="D1887" s="2">
        <v>742060</v>
      </c>
      <c r="E1887" t="s">
        <v>13</v>
      </c>
      <c r="F1887">
        <v>47.15</v>
      </c>
      <c r="G1887">
        <v>-122.4833</v>
      </c>
      <c r="H1887">
        <v>-8</v>
      </c>
      <c r="I1887">
        <v>88.1</v>
      </c>
      <c r="J1887" t="str">
        <f>HYPERLINK("https://climate.onebuilding.org/WMO_Region_4_North_and_Central_America/USA_United_States_of_America/WA_Washington/USA_WA_Tacoma-JB.Lewis-McChord-McChord.Field.742060_US.Normals.2006-2020.zip")</f>
        <v>https://climate.onebuilding.org/WMO_Region_4_North_and_Central_America/USA_United_States_of_America/WA_Washington/USA_WA_Tacoma-JB.Lewis-McChord-McChord.Field.742060_US.Normals.2006-2020.zip</v>
      </c>
    </row>
    <row r="1888" spans="1:10" x14ac:dyDescent="0.25">
      <c r="A1888" t="s">
        <v>35</v>
      </c>
      <c r="B1888" t="s">
        <v>1142</v>
      </c>
      <c r="C1888" t="s">
        <v>1170</v>
      </c>
      <c r="D1888" s="2">
        <v>727938</v>
      </c>
      <c r="E1888" t="s">
        <v>13</v>
      </c>
      <c r="F1888">
        <v>47.267499999999998</v>
      </c>
      <c r="G1888">
        <v>-122.5761</v>
      </c>
      <c r="H1888">
        <v>-8</v>
      </c>
      <c r="I1888">
        <v>89</v>
      </c>
      <c r="J1888" t="str">
        <f>HYPERLINK("https://climate.onebuilding.org/WMO_Region_4_North_and_Central_America/USA_United_States_of_America/WA_Washington/USA_WA_Tacoma.Narrows.AP.727938_US.Normals.2006-2020.zip")</f>
        <v>https://climate.onebuilding.org/WMO_Region_4_North_and_Central_America/USA_United_States_of_America/WA_Washington/USA_WA_Tacoma.Narrows.AP.727938_US.Normals.2006-2020.zip</v>
      </c>
    </row>
    <row r="1889" spans="1:10" x14ac:dyDescent="0.25">
      <c r="A1889" t="s">
        <v>35</v>
      </c>
      <c r="B1889" t="s">
        <v>1142</v>
      </c>
      <c r="C1889" t="s">
        <v>1171</v>
      </c>
      <c r="D1889" s="2">
        <v>726988</v>
      </c>
      <c r="E1889" t="s">
        <v>13</v>
      </c>
      <c r="F1889">
        <v>45.619399999999999</v>
      </c>
      <c r="G1889">
        <v>-121.1661</v>
      </c>
      <c r="H1889">
        <v>-8</v>
      </c>
      <c r="I1889">
        <v>71.599999999999994</v>
      </c>
      <c r="J1889" t="str">
        <f>HYPERLINK("https://climate.onebuilding.org/WMO_Region_4_North_and_Central_America/USA_United_States_of_America/WA_Washington/USA_WA_The.Dalles-Columbia.Gorge.Rgnl.AP.726988_US.Normals.2006-2020.zip")</f>
        <v>https://climate.onebuilding.org/WMO_Region_4_North_and_Central_America/USA_United_States_of_America/WA_Washington/USA_WA_The.Dalles-Columbia.Gorge.Rgnl.AP.726988_US.Normals.2006-2020.zip</v>
      </c>
    </row>
    <row r="1890" spans="1:10" x14ac:dyDescent="0.25">
      <c r="A1890" t="s">
        <v>35</v>
      </c>
      <c r="B1890" t="s">
        <v>1142</v>
      </c>
      <c r="C1890" t="s">
        <v>1172</v>
      </c>
      <c r="D1890" s="2">
        <v>742040</v>
      </c>
      <c r="E1890" t="s">
        <v>13</v>
      </c>
      <c r="F1890">
        <v>47.417499999999997</v>
      </c>
      <c r="G1890">
        <v>-117.5264</v>
      </c>
      <c r="H1890">
        <v>-8</v>
      </c>
      <c r="I1890">
        <v>691</v>
      </c>
      <c r="J1890" t="str">
        <f>HYPERLINK("https://climate.onebuilding.org/WMO_Region_4_North_and_Central_America/USA_United_States_of_America/WA_Washington/USA_WA_Turnbull.Natl.Wildlife.Refuge.742040_US.Normals.2006-2020.zip")</f>
        <v>https://climate.onebuilding.org/WMO_Region_4_North_and_Central_America/USA_United_States_of_America/WA_Washington/USA_WA_Turnbull.Natl.Wildlife.Refuge.742040_US.Normals.2006-2020.zip</v>
      </c>
    </row>
    <row r="1891" spans="1:10" x14ac:dyDescent="0.25">
      <c r="A1891" t="s">
        <v>35</v>
      </c>
      <c r="B1891" t="s">
        <v>1142</v>
      </c>
      <c r="C1891" t="s">
        <v>1173</v>
      </c>
      <c r="D1891" s="2">
        <v>727918</v>
      </c>
      <c r="E1891" t="s">
        <v>13</v>
      </c>
      <c r="F1891">
        <v>45.620800000000003</v>
      </c>
      <c r="G1891">
        <v>-122.6572</v>
      </c>
      <c r="H1891">
        <v>-8</v>
      </c>
      <c r="I1891">
        <v>9.1</v>
      </c>
      <c r="J1891" t="str">
        <f>HYPERLINK("https://climate.onebuilding.org/WMO_Region_4_North_and_Central_America/USA_United_States_of_America/WA_Washington/USA_WA_Vancouver-Pearson.Field.AP.727918_US.Normals.2006-2020.zip")</f>
        <v>https://climate.onebuilding.org/WMO_Region_4_North_and_Central_America/USA_United_States_of_America/WA_Washington/USA_WA_Vancouver-Pearson.Field.AP.727918_US.Normals.2006-2020.zip</v>
      </c>
    </row>
    <row r="1892" spans="1:10" x14ac:dyDescent="0.25">
      <c r="A1892" t="s">
        <v>35</v>
      </c>
      <c r="B1892" t="s">
        <v>1142</v>
      </c>
      <c r="C1892" t="s">
        <v>1174</v>
      </c>
      <c r="D1892" s="2">
        <v>727846</v>
      </c>
      <c r="E1892" t="s">
        <v>13</v>
      </c>
      <c r="F1892">
        <v>46.094700000000003</v>
      </c>
      <c r="G1892">
        <v>-118.2869</v>
      </c>
      <c r="H1892">
        <v>-8</v>
      </c>
      <c r="I1892">
        <v>355.4</v>
      </c>
      <c r="J1892" t="str">
        <f>HYPERLINK("https://climate.onebuilding.org/WMO_Region_4_North_and_Central_America/USA_United_States_of_America/WA_Washington/USA_WA_Walla.Walla.Rgnl.AP.727846_US.Normals.1981-2010.zip")</f>
        <v>https://climate.onebuilding.org/WMO_Region_4_North_and_Central_America/USA_United_States_of_America/WA_Washington/USA_WA_Walla.Walla.Rgnl.AP.727846_US.Normals.1981-2010.zip</v>
      </c>
    </row>
    <row r="1893" spans="1:10" x14ac:dyDescent="0.25">
      <c r="A1893" t="s">
        <v>35</v>
      </c>
      <c r="B1893" t="s">
        <v>1142</v>
      </c>
      <c r="C1893" t="s">
        <v>1174</v>
      </c>
      <c r="D1893" s="2">
        <v>727846</v>
      </c>
      <c r="E1893" t="s">
        <v>13</v>
      </c>
      <c r="F1893">
        <v>46.094700000000003</v>
      </c>
      <c r="G1893">
        <v>-118.2869</v>
      </c>
      <c r="H1893">
        <v>-8</v>
      </c>
      <c r="I1893">
        <v>355.4</v>
      </c>
      <c r="J1893" t="str">
        <f>HYPERLINK("https://climate.onebuilding.org/WMO_Region_4_North_and_Central_America/USA_United_States_of_America/WA_Washington/USA_WA_Walla.Walla.Rgnl.AP.727846_US.Normals.1991-2020.zip")</f>
        <v>https://climate.onebuilding.org/WMO_Region_4_North_and_Central_America/USA_United_States_of_America/WA_Washington/USA_WA_Walla.Walla.Rgnl.AP.727846_US.Normals.1991-2020.zip</v>
      </c>
    </row>
    <row r="1894" spans="1:10" x14ac:dyDescent="0.25">
      <c r="A1894" t="s">
        <v>35</v>
      </c>
      <c r="B1894" t="s">
        <v>1142</v>
      </c>
      <c r="C1894" t="s">
        <v>1174</v>
      </c>
      <c r="D1894" s="2">
        <v>727846</v>
      </c>
      <c r="E1894" t="s">
        <v>13</v>
      </c>
      <c r="F1894">
        <v>46.094700000000003</v>
      </c>
      <c r="G1894">
        <v>-118.2869</v>
      </c>
      <c r="H1894">
        <v>-8</v>
      </c>
      <c r="I1894">
        <v>355.4</v>
      </c>
      <c r="J1894" t="str">
        <f>HYPERLINK("https://climate.onebuilding.org/WMO_Region_4_North_and_Central_America/USA_United_States_of_America/WA_Washington/USA_WA_Walla.Walla.Rgnl.AP.727846_US.Normals.2006-2020.zip")</f>
        <v>https://climate.onebuilding.org/WMO_Region_4_North_and_Central_America/USA_United_States_of_America/WA_Washington/USA_WA_Walla.Walla.Rgnl.AP.727846_US.Normals.2006-2020.zip</v>
      </c>
    </row>
    <row r="1895" spans="1:10" x14ac:dyDescent="0.25">
      <c r="A1895" t="s">
        <v>35</v>
      </c>
      <c r="B1895" t="s">
        <v>1142</v>
      </c>
      <c r="C1895" t="s">
        <v>1175</v>
      </c>
      <c r="D1895" s="2">
        <v>727825</v>
      </c>
      <c r="E1895" t="s">
        <v>13</v>
      </c>
      <c r="F1895">
        <v>47.397799999999997</v>
      </c>
      <c r="G1895">
        <v>-120.20140000000001</v>
      </c>
      <c r="H1895">
        <v>-8</v>
      </c>
      <c r="I1895">
        <v>374.6</v>
      </c>
      <c r="J1895" t="str">
        <f>HYPERLINK("https://climate.onebuilding.org/WMO_Region_4_North_and_Central_America/USA_United_States_of_America/WA_Washington/USA_WA_Wenatchee-Pangborn.Meml.AP.727825_US.Normals.1981-2010.zip")</f>
        <v>https://climate.onebuilding.org/WMO_Region_4_North_and_Central_America/USA_United_States_of_America/WA_Washington/USA_WA_Wenatchee-Pangborn.Meml.AP.727825_US.Normals.1981-2010.zip</v>
      </c>
    </row>
    <row r="1896" spans="1:10" x14ac:dyDescent="0.25">
      <c r="A1896" t="s">
        <v>35</v>
      </c>
      <c r="B1896" t="s">
        <v>1142</v>
      </c>
      <c r="C1896" t="s">
        <v>1175</v>
      </c>
      <c r="D1896" s="2">
        <v>727825</v>
      </c>
      <c r="E1896" t="s">
        <v>13</v>
      </c>
      <c r="F1896">
        <v>47.397799999999997</v>
      </c>
      <c r="G1896">
        <v>-120.20140000000001</v>
      </c>
      <c r="H1896">
        <v>-8</v>
      </c>
      <c r="I1896">
        <v>374.6</v>
      </c>
      <c r="J1896" t="str">
        <f>HYPERLINK("https://climate.onebuilding.org/WMO_Region_4_North_and_Central_America/USA_United_States_of_America/WA_Washington/USA_WA_Wenatchee-Pangborn.Meml.AP.727825_US.Normals.1991-2020.zip")</f>
        <v>https://climate.onebuilding.org/WMO_Region_4_North_and_Central_America/USA_United_States_of_America/WA_Washington/USA_WA_Wenatchee-Pangborn.Meml.AP.727825_US.Normals.1991-2020.zip</v>
      </c>
    </row>
    <row r="1897" spans="1:10" x14ac:dyDescent="0.25">
      <c r="A1897" t="s">
        <v>35</v>
      </c>
      <c r="B1897" t="s">
        <v>1142</v>
      </c>
      <c r="C1897" t="s">
        <v>1175</v>
      </c>
      <c r="D1897" s="2">
        <v>727825</v>
      </c>
      <c r="E1897" t="s">
        <v>13</v>
      </c>
      <c r="F1897">
        <v>47.397799999999997</v>
      </c>
      <c r="G1897">
        <v>-120.20140000000001</v>
      </c>
      <c r="H1897">
        <v>-8</v>
      </c>
      <c r="I1897">
        <v>374.6</v>
      </c>
      <c r="J1897" t="str">
        <f>HYPERLINK("https://climate.onebuilding.org/WMO_Region_4_North_and_Central_America/USA_United_States_of_America/WA_Washington/USA_WA_Wenatchee-Pangborn.Meml.AP.727825_US.Normals.2006-2020.zip")</f>
        <v>https://climate.onebuilding.org/WMO_Region_4_North_and_Central_America/USA_United_States_of_America/WA_Washington/USA_WA_Wenatchee-Pangborn.Meml.AP.727825_US.Normals.2006-2020.zip</v>
      </c>
    </row>
    <row r="1898" spans="1:10" x14ac:dyDescent="0.25">
      <c r="A1898" t="s">
        <v>35</v>
      </c>
      <c r="B1898" t="s">
        <v>1142</v>
      </c>
      <c r="C1898" t="s">
        <v>1176</v>
      </c>
      <c r="D1898" s="2">
        <v>727810</v>
      </c>
      <c r="E1898" t="s">
        <v>13</v>
      </c>
      <c r="F1898">
        <v>46.568300000000001</v>
      </c>
      <c r="G1898">
        <v>-120.5428</v>
      </c>
      <c r="H1898">
        <v>-8</v>
      </c>
      <c r="I1898">
        <v>324.3</v>
      </c>
      <c r="J1898" t="str">
        <f>HYPERLINK("https://climate.onebuilding.org/WMO_Region_4_North_and_Central_America/USA_United_States_of_America/WA_Washington/USA_WA_Yakima.AF-McAllister.Field.727810_US.Normals.1981-2010.zip")</f>
        <v>https://climate.onebuilding.org/WMO_Region_4_North_and_Central_America/USA_United_States_of_America/WA_Washington/USA_WA_Yakima.AF-McAllister.Field.727810_US.Normals.1981-2010.zip</v>
      </c>
    </row>
    <row r="1899" spans="1:10" x14ac:dyDescent="0.25">
      <c r="A1899" t="s">
        <v>35</v>
      </c>
      <c r="B1899" t="s">
        <v>1142</v>
      </c>
      <c r="C1899" t="s">
        <v>1176</v>
      </c>
      <c r="D1899" s="2">
        <v>727810</v>
      </c>
      <c r="E1899" t="s">
        <v>13</v>
      </c>
      <c r="F1899">
        <v>46.568300000000001</v>
      </c>
      <c r="G1899">
        <v>-120.5428</v>
      </c>
      <c r="H1899">
        <v>-8</v>
      </c>
      <c r="I1899">
        <v>324.3</v>
      </c>
      <c r="J1899" t="str">
        <f>HYPERLINK("https://climate.onebuilding.org/WMO_Region_4_North_and_Central_America/USA_United_States_of_America/WA_Washington/USA_WA_Yakima.AF-McAllister.Field.727810_US.Normals.1991-2020.zip")</f>
        <v>https://climate.onebuilding.org/WMO_Region_4_North_and_Central_America/USA_United_States_of_America/WA_Washington/USA_WA_Yakima.AF-McAllister.Field.727810_US.Normals.1991-2020.zip</v>
      </c>
    </row>
    <row r="1900" spans="1:10" x14ac:dyDescent="0.25">
      <c r="A1900" t="s">
        <v>35</v>
      </c>
      <c r="B1900" t="s">
        <v>1142</v>
      </c>
      <c r="C1900" t="s">
        <v>1176</v>
      </c>
      <c r="D1900" s="2">
        <v>727810</v>
      </c>
      <c r="E1900" t="s">
        <v>13</v>
      </c>
      <c r="F1900">
        <v>46.568300000000001</v>
      </c>
      <c r="G1900">
        <v>-120.5428</v>
      </c>
      <c r="H1900">
        <v>-8</v>
      </c>
      <c r="I1900">
        <v>324.3</v>
      </c>
      <c r="J1900" t="str">
        <f>HYPERLINK("https://climate.onebuilding.org/WMO_Region_4_North_and_Central_America/USA_United_States_of_America/WA_Washington/USA_WA_Yakima.AF-McAllister.Field.727810_US.Normals.2006-2020.zip")</f>
        <v>https://climate.onebuilding.org/WMO_Region_4_North_and_Central_America/USA_United_States_of_America/WA_Washington/USA_WA_Yakima.AF-McAllister.Field.727810_US.Normals.2006-2020.zip</v>
      </c>
    </row>
    <row r="1901" spans="1:10" x14ac:dyDescent="0.25">
      <c r="A1901" t="s">
        <v>35</v>
      </c>
      <c r="B1901" t="s">
        <v>1177</v>
      </c>
      <c r="C1901" t="s">
        <v>1178</v>
      </c>
      <c r="D1901" s="2">
        <v>726419</v>
      </c>
      <c r="E1901" t="s">
        <v>13</v>
      </c>
      <c r="F1901">
        <v>46.5486</v>
      </c>
      <c r="G1901">
        <v>-90.918899999999994</v>
      </c>
      <c r="H1901">
        <v>-6</v>
      </c>
      <c r="I1901">
        <v>251.8</v>
      </c>
      <c r="J1901" t="str">
        <f>HYPERLINK("https://climate.onebuilding.org/WMO_Region_4_North_and_Central_America/USA_United_States_of_America/WI_Wisconsin/USA_WI_Ashland-Kennedy.Meml.AP.726419_US.Normals.2006-2020.zip")</f>
        <v>https://climate.onebuilding.org/WMO_Region_4_North_and_Central_America/USA_United_States_of_America/WI_Wisconsin/USA_WI_Ashland-Kennedy.Meml.AP.726419_US.Normals.2006-2020.zip</v>
      </c>
    </row>
    <row r="1902" spans="1:10" x14ac:dyDescent="0.25">
      <c r="A1902" t="s">
        <v>35</v>
      </c>
      <c r="B1902" t="s">
        <v>1177</v>
      </c>
      <c r="C1902" t="s">
        <v>1179</v>
      </c>
      <c r="D1902" s="2">
        <v>726438</v>
      </c>
      <c r="E1902" t="s">
        <v>13</v>
      </c>
      <c r="F1902">
        <v>43.156100000000002</v>
      </c>
      <c r="G1902">
        <v>-90.677499999999995</v>
      </c>
      <c r="H1902">
        <v>-6</v>
      </c>
      <c r="I1902">
        <v>204.8</v>
      </c>
      <c r="J1902" t="str">
        <f>HYPERLINK("https://climate.onebuilding.org/WMO_Region_4_North_and_Central_America/USA_United_States_of_America/WI_Wisconsin/USA_WI_Boscobel.AP.726438_US.Normals.2006-2020.zip")</f>
        <v>https://climate.onebuilding.org/WMO_Region_4_North_and_Central_America/USA_United_States_of_America/WI_Wisconsin/USA_WI_Boscobel.AP.726438_US.Normals.2006-2020.zip</v>
      </c>
    </row>
    <row r="1903" spans="1:10" x14ac:dyDescent="0.25">
      <c r="A1903" t="s">
        <v>35</v>
      </c>
      <c r="B1903" t="s">
        <v>1177</v>
      </c>
      <c r="C1903" t="s">
        <v>1180</v>
      </c>
      <c r="D1903" s="2">
        <v>726435</v>
      </c>
      <c r="E1903" t="s">
        <v>13</v>
      </c>
      <c r="F1903">
        <v>44.866399999999999</v>
      </c>
      <c r="G1903">
        <v>-91.487799999999993</v>
      </c>
      <c r="H1903">
        <v>-6</v>
      </c>
      <c r="I1903">
        <v>269.7</v>
      </c>
      <c r="J1903" t="str">
        <f>HYPERLINK("https://climate.onebuilding.org/WMO_Region_4_North_and_Central_America/USA_United_States_of_America/WI_Wisconsin/USA_WI_Eau.Claire-Chippewa.Valley.Rgnl.AP.726435_US.Normals.1981-2010.zip")</f>
        <v>https://climate.onebuilding.org/WMO_Region_4_North_and_Central_America/USA_United_States_of_America/WI_Wisconsin/USA_WI_Eau.Claire-Chippewa.Valley.Rgnl.AP.726435_US.Normals.1981-2010.zip</v>
      </c>
    </row>
    <row r="1904" spans="1:10" x14ac:dyDescent="0.25">
      <c r="A1904" t="s">
        <v>35</v>
      </c>
      <c r="B1904" t="s">
        <v>1177</v>
      </c>
      <c r="C1904" t="s">
        <v>1180</v>
      </c>
      <c r="D1904" s="2">
        <v>726435</v>
      </c>
      <c r="E1904" t="s">
        <v>13</v>
      </c>
      <c r="F1904">
        <v>44.866399999999999</v>
      </c>
      <c r="G1904">
        <v>-91.487799999999993</v>
      </c>
      <c r="H1904">
        <v>-6</v>
      </c>
      <c r="I1904">
        <v>269.7</v>
      </c>
      <c r="J1904" t="str">
        <f>HYPERLINK("https://climate.onebuilding.org/WMO_Region_4_North_and_Central_America/USA_United_States_of_America/WI_Wisconsin/USA_WI_Eau.Claire-Chippewa.Valley.Rgnl.AP.726435_US.Normals.1991-2020.zip")</f>
        <v>https://climate.onebuilding.org/WMO_Region_4_North_and_Central_America/USA_United_States_of_America/WI_Wisconsin/USA_WI_Eau.Claire-Chippewa.Valley.Rgnl.AP.726435_US.Normals.1991-2020.zip</v>
      </c>
    </row>
    <row r="1905" spans="1:10" x14ac:dyDescent="0.25">
      <c r="A1905" t="s">
        <v>35</v>
      </c>
      <c r="B1905" t="s">
        <v>1177</v>
      </c>
      <c r="C1905" t="s">
        <v>1180</v>
      </c>
      <c r="D1905" s="2">
        <v>726435</v>
      </c>
      <c r="E1905" t="s">
        <v>13</v>
      </c>
      <c r="F1905">
        <v>44.866399999999999</v>
      </c>
      <c r="G1905">
        <v>-91.487799999999993</v>
      </c>
      <c r="H1905">
        <v>-6</v>
      </c>
      <c r="I1905">
        <v>269.7</v>
      </c>
      <c r="J1905" t="str">
        <f>HYPERLINK("https://climate.onebuilding.org/WMO_Region_4_North_and_Central_America/USA_United_States_of_America/WI_Wisconsin/USA_WI_Eau.Claire-Chippewa.Valley.Rgnl.AP.726435_US.Normals.2006-2020.zip")</f>
        <v>https://climate.onebuilding.org/WMO_Region_4_North_and_Central_America/USA_United_States_of_America/WI_Wisconsin/USA_WI_Eau.Claire-Chippewa.Valley.Rgnl.AP.726435_US.Normals.2006-2020.zip</v>
      </c>
    </row>
    <row r="1906" spans="1:10" x14ac:dyDescent="0.25">
      <c r="A1906" t="s">
        <v>35</v>
      </c>
      <c r="B1906" t="s">
        <v>1177</v>
      </c>
      <c r="C1906" t="s">
        <v>1181</v>
      </c>
      <c r="D1906" s="2">
        <v>726506</v>
      </c>
      <c r="E1906" t="s">
        <v>13</v>
      </c>
      <c r="F1906">
        <v>43.77</v>
      </c>
      <c r="G1906">
        <v>-88.486400000000003</v>
      </c>
      <c r="H1906">
        <v>-6</v>
      </c>
      <c r="I1906">
        <v>246.6</v>
      </c>
      <c r="J1906" t="str">
        <f>HYPERLINK("https://climate.onebuilding.org/WMO_Region_4_North_and_Central_America/USA_United_States_of_America/WI_Wisconsin/USA_WI_Fond.Du.Lac.County.AP.726506_US.Normals.2006-2020.zip")</f>
        <v>https://climate.onebuilding.org/WMO_Region_4_North_and_Central_America/USA_United_States_of_America/WI_Wisconsin/USA_WI_Fond.Du.Lac.County.AP.726506_US.Normals.2006-2020.zip</v>
      </c>
    </row>
    <row r="1907" spans="1:10" x14ac:dyDescent="0.25">
      <c r="A1907" t="s">
        <v>35</v>
      </c>
      <c r="B1907" t="s">
        <v>1177</v>
      </c>
      <c r="C1907" t="s">
        <v>1182</v>
      </c>
      <c r="D1907" s="2">
        <v>726450</v>
      </c>
      <c r="E1907" t="s">
        <v>13</v>
      </c>
      <c r="F1907">
        <v>44.4983</v>
      </c>
      <c r="G1907">
        <v>-88.111099999999993</v>
      </c>
      <c r="H1907">
        <v>-6</v>
      </c>
      <c r="I1907">
        <v>207.9</v>
      </c>
      <c r="J1907" t="str">
        <f>HYPERLINK("https://climate.onebuilding.org/WMO_Region_4_North_and_Central_America/USA_United_States_of_America/WI_Wisconsin/USA_WI_Green.Bay-Straubel.Intl.AP.726450_US.Normals.1981-2010.zip")</f>
        <v>https://climate.onebuilding.org/WMO_Region_4_North_and_Central_America/USA_United_States_of_America/WI_Wisconsin/USA_WI_Green.Bay-Straubel.Intl.AP.726450_US.Normals.1981-2010.zip</v>
      </c>
    </row>
    <row r="1908" spans="1:10" x14ac:dyDescent="0.25">
      <c r="A1908" t="s">
        <v>35</v>
      </c>
      <c r="B1908" t="s">
        <v>1177</v>
      </c>
      <c r="C1908" t="s">
        <v>1182</v>
      </c>
      <c r="D1908" s="2">
        <v>726450</v>
      </c>
      <c r="E1908" t="s">
        <v>13</v>
      </c>
      <c r="F1908">
        <v>44.4983</v>
      </c>
      <c r="G1908">
        <v>-88.111099999999993</v>
      </c>
      <c r="H1908">
        <v>-6</v>
      </c>
      <c r="I1908">
        <v>207.9</v>
      </c>
      <c r="J1908" t="str">
        <f>HYPERLINK("https://climate.onebuilding.org/WMO_Region_4_North_and_Central_America/USA_United_States_of_America/WI_Wisconsin/USA_WI_Green.Bay-Straubel.Intl.AP.726450_US.Normals.1991-2020.zip")</f>
        <v>https://climate.onebuilding.org/WMO_Region_4_North_and_Central_America/USA_United_States_of_America/WI_Wisconsin/USA_WI_Green.Bay-Straubel.Intl.AP.726450_US.Normals.1991-2020.zip</v>
      </c>
    </row>
    <row r="1909" spans="1:10" x14ac:dyDescent="0.25">
      <c r="A1909" t="s">
        <v>35</v>
      </c>
      <c r="B1909" t="s">
        <v>1177</v>
      </c>
      <c r="C1909" t="s">
        <v>1182</v>
      </c>
      <c r="D1909" s="2">
        <v>726450</v>
      </c>
      <c r="E1909" t="s">
        <v>13</v>
      </c>
      <c r="F1909">
        <v>44.4983</v>
      </c>
      <c r="G1909">
        <v>-88.111099999999993</v>
      </c>
      <c r="H1909">
        <v>-6</v>
      </c>
      <c r="I1909">
        <v>207.9</v>
      </c>
      <c r="J1909" t="str">
        <f>HYPERLINK("https://climate.onebuilding.org/WMO_Region_4_North_and_Central_America/USA_United_States_of_America/WI_Wisconsin/USA_WI_Green.Bay-Straubel.Intl.AP.726450_US.Normals.2006-2020.zip")</f>
        <v>https://climate.onebuilding.org/WMO_Region_4_North_and_Central_America/USA_United_States_of_America/WI_Wisconsin/USA_WI_Green.Bay-Straubel.Intl.AP.726450_US.Normals.2006-2020.zip</v>
      </c>
    </row>
    <row r="1910" spans="1:10" x14ac:dyDescent="0.25">
      <c r="A1910" t="s">
        <v>35</v>
      </c>
      <c r="B1910" t="s">
        <v>1177</v>
      </c>
      <c r="C1910" t="s">
        <v>1183</v>
      </c>
      <c r="D1910" s="2">
        <v>726508</v>
      </c>
      <c r="E1910" t="s">
        <v>13</v>
      </c>
      <c r="F1910">
        <v>46.0261</v>
      </c>
      <c r="G1910">
        <v>-91.444199999999995</v>
      </c>
      <c r="H1910">
        <v>-6</v>
      </c>
      <c r="I1910">
        <v>367</v>
      </c>
      <c r="J1910" t="str">
        <f>HYPERLINK("https://climate.onebuilding.org/WMO_Region_4_North_and_Central_America/USA_United_States_of_America/WI_Wisconsin/USA_WI_Hayward.Muni.AP.726508_US.Normals.2006-2020.zip")</f>
        <v>https://climate.onebuilding.org/WMO_Region_4_North_and_Central_America/USA_United_States_of_America/WI_Wisconsin/USA_WI_Hayward.Muni.AP.726508_US.Normals.2006-2020.zip</v>
      </c>
    </row>
    <row r="1911" spans="1:10" x14ac:dyDescent="0.25">
      <c r="A1911" t="s">
        <v>35</v>
      </c>
      <c r="B1911" t="s">
        <v>1177</v>
      </c>
      <c r="C1911" t="s">
        <v>1184</v>
      </c>
      <c r="D1911" s="2">
        <v>726505</v>
      </c>
      <c r="E1911" t="s">
        <v>13</v>
      </c>
      <c r="F1911">
        <v>42.594999999999999</v>
      </c>
      <c r="G1911">
        <v>-87.938100000000006</v>
      </c>
      <c r="H1911">
        <v>-6</v>
      </c>
      <c r="I1911">
        <v>226.5</v>
      </c>
      <c r="J1911" t="str">
        <f>HYPERLINK("https://climate.onebuilding.org/WMO_Region_4_North_and_Central_America/USA_United_States_of_America/WI_Wisconsin/USA_WI_Kenosha.Rgnl.AP.726505_US.Normals.2006-2020.zip")</f>
        <v>https://climate.onebuilding.org/WMO_Region_4_North_and_Central_America/USA_United_States_of_America/WI_Wisconsin/USA_WI_Kenosha.Rgnl.AP.726505_US.Normals.2006-2020.zip</v>
      </c>
    </row>
    <row r="1912" spans="1:10" x14ac:dyDescent="0.25">
      <c r="A1912" t="s">
        <v>35</v>
      </c>
      <c r="B1912" t="s">
        <v>1177</v>
      </c>
      <c r="C1912" t="s">
        <v>1185</v>
      </c>
      <c r="D1912" s="2">
        <v>726430</v>
      </c>
      <c r="E1912" t="s">
        <v>13</v>
      </c>
      <c r="F1912">
        <v>43.878900000000002</v>
      </c>
      <c r="G1912">
        <v>-91.252799999999993</v>
      </c>
      <c r="H1912">
        <v>-6</v>
      </c>
      <c r="I1912">
        <v>198.7</v>
      </c>
      <c r="J1912" t="str">
        <f>HYPERLINK("https://climate.onebuilding.org/WMO_Region_4_North_and_Central_America/USA_United_States_of_America/WI_Wisconsin/USA_WI_La.Crosse.Rgnl.AP.726430_US.Normals.1981-2010.zip")</f>
        <v>https://climate.onebuilding.org/WMO_Region_4_North_and_Central_America/USA_United_States_of_America/WI_Wisconsin/USA_WI_La.Crosse.Rgnl.AP.726430_US.Normals.1981-2010.zip</v>
      </c>
    </row>
    <row r="1913" spans="1:10" x14ac:dyDescent="0.25">
      <c r="A1913" t="s">
        <v>35</v>
      </c>
      <c r="B1913" t="s">
        <v>1177</v>
      </c>
      <c r="C1913" t="s">
        <v>1185</v>
      </c>
      <c r="D1913" s="2">
        <v>726430</v>
      </c>
      <c r="E1913" t="s">
        <v>13</v>
      </c>
      <c r="F1913">
        <v>43.878900000000002</v>
      </c>
      <c r="G1913">
        <v>-91.252799999999993</v>
      </c>
      <c r="H1913">
        <v>-6</v>
      </c>
      <c r="I1913">
        <v>198.7</v>
      </c>
      <c r="J1913" t="str">
        <f>HYPERLINK("https://climate.onebuilding.org/WMO_Region_4_North_and_Central_America/USA_United_States_of_America/WI_Wisconsin/USA_WI_La.Crosse.Rgnl.AP.726430_US.Normals.1991-2020.zip")</f>
        <v>https://climate.onebuilding.org/WMO_Region_4_North_and_Central_America/USA_United_States_of_America/WI_Wisconsin/USA_WI_La.Crosse.Rgnl.AP.726430_US.Normals.1991-2020.zip</v>
      </c>
    </row>
    <row r="1914" spans="1:10" x14ac:dyDescent="0.25">
      <c r="A1914" t="s">
        <v>35</v>
      </c>
      <c r="B1914" t="s">
        <v>1177</v>
      </c>
      <c r="C1914" t="s">
        <v>1185</v>
      </c>
      <c r="D1914" s="2">
        <v>726430</v>
      </c>
      <c r="E1914" t="s">
        <v>13</v>
      </c>
      <c r="F1914">
        <v>43.878900000000002</v>
      </c>
      <c r="G1914">
        <v>-91.252799999999993</v>
      </c>
      <c r="H1914">
        <v>-6</v>
      </c>
      <c r="I1914">
        <v>198.7</v>
      </c>
      <c r="J1914" t="str">
        <f>HYPERLINK("https://climate.onebuilding.org/WMO_Region_4_North_and_Central_America/USA_United_States_of_America/WI_Wisconsin/USA_WI_La.Crosse.Rgnl.AP.726430_US.Normals.2006-2020.zip")</f>
        <v>https://climate.onebuilding.org/WMO_Region_4_North_and_Central_America/USA_United_States_of_America/WI_Wisconsin/USA_WI_La.Crosse.Rgnl.AP.726430_US.Normals.2006-2020.zip</v>
      </c>
    </row>
    <row r="1915" spans="1:10" x14ac:dyDescent="0.25">
      <c r="A1915" t="s">
        <v>35</v>
      </c>
      <c r="B1915" t="s">
        <v>1177</v>
      </c>
      <c r="C1915" t="s">
        <v>1186</v>
      </c>
      <c r="D1915" s="2">
        <v>726416</v>
      </c>
      <c r="E1915" t="s">
        <v>13</v>
      </c>
      <c r="F1915">
        <v>43.2119</v>
      </c>
      <c r="G1915">
        <v>-90.181399999999996</v>
      </c>
      <c r="H1915">
        <v>-6</v>
      </c>
      <c r="I1915">
        <v>218.5</v>
      </c>
      <c r="J1915" t="str">
        <f>HYPERLINK("https://climate.onebuilding.org/WMO_Region_4_North_and_Central_America/USA_United_States_of_America/WI_Wisconsin/USA_WI_Lone.Rock-Tri-County.Rgnl.AP.726416_US.Normals.2006-2020.zip")</f>
        <v>https://climate.onebuilding.org/WMO_Region_4_North_and_Central_America/USA_United_States_of_America/WI_Wisconsin/USA_WI_Lone.Rock-Tri-County.Rgnl.AP.726416_US.Normals.2006-2020.zip</v>
      </c>
    </row>
    <row r="1916" spans="1:10" x14ac:dyDescent="0.25">
      <c r="A1916" t="s">
        <v>35</v>
      </c>
      <c r="B1916" t="s">
        <v>1177</v>
      </c>
      <c r="C1916" t="s">
        <v>1187</v>
      </c>
      <c r="D1916" s="2">
        <v>726410</v>
      </c>
      <c r="E1916" t="s">
        <v>13</v>
      </c>
      <c r="F1916">
        <v>43.140599999999999</v>
      </c>
      <c r="G1916">
        <v>-89.345299999999995</v>
      </c>
      <c r="H1916">
        <v>-6</v>
      </c>
      <c r="I1916">
        <v>264</v>
      </c>
      <c r="J1916" t="str">
        <f>HYPERLINK("https://climate.onebuilding.org/WMO_Region_4_North_and_Central_America/USA_United_States_of_America/WI_Wisconsin/USA_WI_Madison-Dane.County.Rgnl.AP-Truax.Field.726410_US.Normals.1981-2010.zip")</f>
        <v>https://climate.onebuilding.org/WMO_Region_4_North_and_Central_America/USA_United_States_of_America/WI_Wisconsin/USA_WI_Madison-Dane.County.Rgnl.AP-Truax.Field.726410_US.Normals.1981-2010.zip</v>
      </c>
    </row>
    <row r="1917" spans="1:10" x14ac:dyDescent="0.25">
      <c r="A1917" t="s">
        <v>35</v>
      </c>
      <c r="B1917" t="s">
        <v>1177</v>
      </c>
      <c r="C1917" t="s">
        <v>1187</v>
      </c>
      <c r="D1917" s="2">
        <v>726410</v>
      </c>
      <c r="E1917" t="s">
        <v>13</v>
      </c>
      <c r="F1917">
        <v>43.140599999999999</v>
      </c>
      <c r="G1917">
        <v>-89.345299999999995</v>
      </c>
      <c r="H1917">
        <v>-6</v>
      </c>
      <c r="I1917">
        <v>264</v>
      </c>
      <c r="J1917" t="str">
        <f>HYPERLINK("https://climate.onebuilding.org/WMO_Region_4_North_and_Central_America/USA_United_States_of_America/WI_Wisconsin/USA_WI_Madison-Dane.County.Rgnl.AP-Truax.Field.726410_US.Normals.1991-2020.zip")</f>
        <v>https://climate.onebuilding.org/WMO_Region_4_North_and_Central_America/USA_United_States_of_America/WI_Wisconsin/USA_WI_Madison-Dane.County.Rgnl.AP-Truax.Field.726410_US.Normals.1991-2020.zip</v>
      </c>
    </row>
    <row r="1918" spans="1:10" x14ac:dyDescent="0.25">
      <c r="A1918" t="s">
        <v>35</v>
      </c>
      <c r="B1918" t="s">
        <v>1177</v>
      </c>
      <c r="C1918" t="s">
        <v>1187</v>
      </c>
      <c r="D1918" s="2">
        <v>726410</v>
      </c>
      <c r="E1918" t="s">
        <v>13</v>
      </c>
      <c r="F1918">
        <v>43.140599999999999</v>
      </c>
      <c r="G1918">
        <v>-89.345299999999995</v>
      </c>
      <c r="H1918">
        <v>-6</v>
      </c>
      <c r="I1918">
        <v>264</v>
      </c>
      <c r="J1918" t="str">
        <f>HYPERLINK("https://climate.onebuilding.org/WMO_Region_4_North_and_Central_America/USA_United_States_of_America/WI_Wisconsin/USA_WI_Madison-Dane.County.Rgnl.AP-Truax.Field.726410_US.Normals.2006-2020.zip")</f>
        <v>https://climate.onebuilding.org/WMO_Region_4_North_and_Central_America/USA_United_States_of_America/WI_Wisconsin/USA_WI_Madison-Dane.County.Rgnl.AP-Truax.Field.726410_US.Normals.2006-2020.zip</v>
      </c>
    </row>
    <row r="1919" spans="1:10" x14ac:dyDescent="0.25">
      <c r="A1919" t="s">
        <v>35</v>
      </c>
      <c r="B1919" t="s">
        <v>1177</v>
      </c>
      <c r="C1919" t="s">
        <v>1188</v>
      </c>
      <c r="D1919" s="2">
        <v>726574</v>
      </c>
      <c r="E1919" t="s">
        <v>13</v>
      </c>
      <c r="F1919">
        <v>44.638100000000001</v>
      </c>
      <c r="G1919">
        <v>-90.1875</v>
      </c>
      <c r="H1919">
        <v>-6</v>
      </c>
      <c r="I1919">
        <v>382.5</v>
      </c>
      <c r="J1919" t="str">
        <f>HYPERLINK("https://climate.onebuilding.org/WMO_Region_4_North_and_Central_America/USA_United_States_of_America/WI_Wisconsin/USA_WI_Marshfield.Muni.AP.726574_US.Normals.1991-2020.zip")</f>
        <v>https://climate.onebuilding.org/WMO_Region_4_North_and_Central_America/USA_United_States_of_America/WI_Wisconsin/USA_WI_Marshfield.Muni.AP.726574_US.Normals.1991-2020.zip</v>
      </c>
    </row>
    <row r="1920" spans="1:10" x14ac:dyDescent="0.25">
      <c r="A1920" t="s">
        <v>35</v>
      </c>
      <c r="B1920" t="s">
        <v>1177</v>
      </c>
      <c r="C1920" t="s">
        <v>1188</v>
      </c>
      <c r="D1920" s="2">
        <v>726574</v>
      </c>
      <c r="E1920" t="s">
        <v>13</v>
      </c>
      <c r="F1920">
        <v>44.638100000000001</v>
      </c>
      <c r="G1920">
        <v>-90.1875</v>
      </c>
      <c r="H1920">
        <v>-6</v>
      </c>
      <c r="I1920">
        <v>382.5</v>
      </c>
      <c r="J1920" t="str">
        <f>HYPERLINK("https://climate.onebuilding.org/WMO_Region_4_North_and_Central_America/USA_United_States_of_America/WI_Wisconsin/USA_WI_Marshfield.Muni.AP.726574_US.Normals.2006-2020.zip")</f>
        <v>https://climate.onebuilding.org/WMO_Region_4_North_and_Central_America/USA_United_States_of_America/WI_Wisconsin/USA_WI_Marshfield.Muni.AP.726574_US.Normals.2006-2020.zip</v>
      </c>
    </row>
    <row r="1921" spans="1:10" x14ac:dyDescent="0.25">
      <c r="A1921" t="s">
        <v>35</v>
      </c>
      <c r="B1921" t="s">
        <v>1177</v>
      </c>
      <c r="C1921" t="s">
        <v>1189</v>
      </c>
      <c r="D1921" s="2">
        <v>726400</v>
      </c>
      <c r="E1921" t="s">
        <v>13</v>
      </c>
      <c r="F1921">
        <v>42.954999999999998</v>
      </c>
      <c r="G1921">
        <v>-87.904399999999995</v>
      </c>
      <c r="H1921">
        <v>-6</v>
      </c>
      <c r="I1921">
        <v>204.2</v>
      </c>
      <c r="J1921" t="str">
        <f>HYPERLINK("https://climate.onebuilding.org/WMO_Region_4_North_and_Central_America/USA_United_States_of_America/WI_Wisconsin/USA_WI_Milwaukee-Mitchell.Intl.AP.726400_US.Normals.1981-2010.zip")</f>
        <v>https://climate.onebuilding.org/WMO_Region_4_North_and_Central_America/USA_United_States_of_America/WI_Wisconsin/USA_WI_Milwaukee-Mitchell.Intl.AP.726400_US.Normals.1981-2010.zip</v>
      </c>
    </row>
    <row r="1922" spans="1:10" x14ac:dyDescent="0.25">
      <c r="A1922" t="s">
        <v>35</v>
      </c>
      <c r="B1922" t="s">
        <v>1177</v>
      </c>
      <c r="C1922" t="s">
        <v>1189</v>
      </c>
      <c r="D1922" s="2">
        <v>726400</v>
      </c>
      <c r="E1922" t="s">
        <v>13</v>
      </c>
      <c r="F1922">
        <v>42.954999999999998</v>
      </c>
      <c r="G1922">
        <v>-87.904399999999995</v>
      </c>
      <c r="H1922">
        <v>-6</v>
      </c>
      <c r="I1922">
        <v>204.2</v>
      </c>
      <c r="J1922" t="str">
        <f>HYPERLINK("https://climate.onebuilding.org/WMO_Region_4_North_and_Central_America/USA_United_States_of_America/WI_Wisconsin/USA_WI_Milwaukee-Mitchell.Intl.AP.726400_US.Normals.1991-2020.zip")</f>
        <v>https://climate.onebuilding.org/WMO_Region_4_North_and_Central_America/USA_United_States_of_America/WI_Wisconsin/USA_WI_Milwaukee-Mitchell.Intl.AP.726400_US.Normals.1991-2020.zip</v>
      </c>
    </row>
    <row r="1923" spans="1:10" x14ac:dyDescent="0.25">
      <c r="A1923" t="s">
        <v>35</v>
      </c>
      <c r="B1923" t="s">
        <v>1177</v>
      </c>
      <c r="C1923" t="s">
        <v>1189</v>
      </c>
      <c r="D1923" s="2">
        <v>726400</v>
      </c>
      <c r="E1923" t="s">
        <v>13</v>
      </c>
      <c r="F1923">
        <v>42.954999999999998</v>
      </c>
      <c r="G1923">
        <v>-87.904399999999995</v>
      </c>
      <c r="H1923">
        <v>-6</v>
      </c>
      <c r="I1923">
        <v>204.2</v>
      </c>
      <c r="J1923" t="str">
        <f>HYPERLINK("https://climate.onebuilding.org/WMO_Region_4_North_and_Central_America/USA_United_States_of_America/WI_Wisconsin/USA_WI_Milwaukee-Mitchell.Intl.AP.726400_US.Normals.2006-2020.zip")</f>
        <v>https://climate.onebuilding.org/WMO_Region_4_North_and_Central_America/USA_United_States_of_America/WI_Wisconsin/USA_WI_Milwaukee-Mitchell.Intl.AP.726400_US.Normals.2006-2020.zip</v>
      </c>
    </row>
    <row r="1924" spans="1:10" x14ac:dyDescent="0.25">
      <c r="A1924" t="s">
        <v>35</v>
      </c>
      <c r="B1924" t="s">
        <v>1177</v>
      </c>
      <c r="C1924" t="s">
        <v>1190</v>
      </c>
      <c r="D1924" s="2">
        <v>743580</v>
      </c>
      <c r="E1924" t="s">
        <v>13</v>
      </c>
      <c r="F1924">
        <v>44.060299999999998</v>
      </c>
      <c r="G1924">
        <v>-90.173599999999993</v>
      </c>
      <c r="H1924">
        <v>-6</v>
      </c>
      <c r="I1924">
        <v>284.39999999999998</v>
      </c>
      <c r="J1924" t="str">
        <f>HYPERLINK("https://climate.onebuilding.org/WMO_Region_4_North_and_Central_America/USA_United_States_of_America/WI_Wisconsin/USA_WI_Necedah.Natl.Wildlife.Refuge.743580_US.Normals.2006-2020.zip")</f>
        <v>https://climate.onebuilding.org/WMO_Region_4_North_and_Central_America/USA_United_States_of_America/WI_Wisconsin/USA_WI_Necedah.Natl.Wildlife.Refuge.743580_US.Normals.2006-2020.zip</v>
      </c>
    </row>
    <row r="1925" spans="1:10" x14ac:dyDescent="0.25">
      <c r="A1925" t="s">
        <v>35</v>
      </c>
      <c r="B1925" t="s">
        <v>1177</v>
      </c>
      <c r="C1925" t="s">
        <v>1191</v>
      </c>
      <c r="D1925" s="2">
        <v>726456</v>
      </c>
      <c r="E1925" t="s">
        <v>13</v>
      </c>
      <c r="F1925">
        <v>43.984400000000001</v>
      </c>
      <c r="G1925">
        <v>-88.556899999999999</v>
      </c>
      <c r="H1925">
        <v>-6</v>
      </c>
      <c r="I1925">
        <v>238.4</v>
      </c>
      <c r="J1925" t="str">
        <f>HYPERLINK("https://climate.onebuilding.org/WMO_Region_4_North_and_Central_America/USA_United_States_of_America/WI_Wisconsin/USA_WI_Oshkosh-Wittman.Rgnl.AP.726456_US.Normals.2006-2020.zip")</f>
        <v>https://climate.onebuilding.org/WMO_Region_4_North_and_Central_America/USA_United_States_of_America/WI_Wisconsin/USA_WI_Oshkosh-Wittman.Rgnl.AP.726456_US.Normals.2006-2020.zip</v>
      </c>
    </row>
    <row r="1926" spans="1:10" x14ac:dyDescent="0.25">
      <c r="A1926" t="s">
        <v>35</v>
      </c>
      <c r="B1926" t="s">
        <v>1177</v>
      </c>
      <c r="C1926" t="s">
        <v>1192</v>
      </c>
      <c r="D1926" s="2">
        <v>726424</v>
      </c>
      <c r="E1926" t="s">
        <v>13</v>
      </c>
      <c r="F1926">
        <v>42.761099999999999</v>
      </c>
      <c r="G1926">
        <v>-87.813599999999994</v>
      </c>
      <c r="H1926">
        <v>-6</v>
      </c>
      <c r="I1926">
        <v>205.4</v>
      </c>
      <c r="J1926" t="str">
        <f>HYPERLINK("https://climate.onebuilding.org/WMO_Region_4_North_and_Central_America/USA_United_States_of_America/WI_Wisconsin/USA_WI_Racine-Batten.Intl.AP.726424_US.Normals.2006-2020.zip")</f>
        <v>https://climate.onebuilding.org/WMO_Region_4_North_and_Central_America/USA_United_States_of_America/WI_Wisconsin/USA_WI_Racine-Batten.Intl.AP.726424_US.Normals.2006-2020.zip</v>
      </c>
    </row>
    <row r="1927" spans="1:10" x14ac:dyDescent="0.25">
      <c r="A1927" t="s">
        <v>35</v>
      </c>
      <c r="B1927" t="s">
        <v>1177</v>
      </c>
      <c r="C1927" t="s">
        <v>1193</v>
      </c>
      <c r="D1927" s="2">
        <v>727415</v>
      </c>
      <c r="E1927" t="s">
        <v>13</v>
      </c>
      <c r="F1927">
        <v>45.630800000000001</v>
      </c>
      <c r="G1927">
        <v>-89.465299999999999</v>
      </c>
      <c r="H1927">
        <v>-6</v>
      </c>
      <c r="I1927">
        <v>487.4</v>
      </c>
      <c r="J1927" t="str">
        <f>HYPERLINK("https://climate.onebuilding.org/WMO_Region_4_North_and_Central_America/USA_United_States_of_America/WI_Wisconsin/USA_WI_Rhinelander-Oneida.County.AP.727415_US.Normals.2006-2020.zip")</f>
        <v>https://climate.onebuilding.org/WMO_Region_4_North_and_Central_America/USA_United_States_of_America/WI_Wisconsin/USA_WI_Rhinelander-Oneida.County.AP.727415_US.Normals.2006-2020.zip</v>
      </c>
    </row>
    <row r="1928" spans="1:10" x14ac:dyDescent="0.25">
      <c r="A1928" t="s">
        <v>35</v>
      </c>
      <c r="B1928" t="s">
        <v>1177</v>
      </c>
      <c r="C1928" t="s">
        <v>1194</v>
      </c>
      <c r="D1928" s="2">
        <v>726425</v>
      </c>
      <c r="E1928" t="s">
        <v>13</v>
      </c>
      <c r="F1928">
        <v>43.769399999999997</v>
      </c>
      <c r="G1928">
        <v>-87.8506</v>
      </c>
      <c r="H1928">
        <v>-6</v>
      </c>
      <c r="I1928">
        <v>227.4</v>
      </c>
      <c r="J1928" t="str">
        <f>HYPERLINK("https://climate.onebuilding.org/WMO_Region_4_North_and_Central_America/USA_United_States_of_America/WI_Wisconsin/USA_WI_Sheboygan.Falls-Sheboygan.County.Meml.AP.726425_US.Normals.2006-2020.zip")</f>
        <v>https://climate.onebuilding.org/WMO_Region_4_North_and_Central_America/USA_United_States_of_America/WI_Wisconsin/USA_WI_Sheboygan.Falls-Sheboygan.County.Meml.AP.726425_US.Normals.2006-2020.zip</v>
      </c>
    </row>
    <row r="1929" spans="1:10" x14ac:dyDescent="0.25">
      <c r="A1929" t="s">
        <v>35</v>
      </c>
      <c r="B1929" t="s">
        <v>1177</v>
      </c>
      <c r="C1929" t="s">
        <v>1195</v>
      </c>
      <c r="D1929" s="2">
        <v>726436</v>
      </c>
      <c r="E1929" t="s">
        <v>13</v>
      </c>
      <c r="F1929">
        <v>43.933300000000003</v>
      </c>
      <c r="G1929">
        <v>-90.2667</v>
      </c>
      <c r="H1929">
        <v>-6</v>
      </c>
      <c r="I1929">
        <v>280.10000000000002</v>
      </c>
      <c r="J1929" t="str">
        <f>HYPERLINK("https://climate.onebuilding.org/WMO_Region_4_North_and_Central_America/USA_United_States_of_America/WI_Wisconsin/USA_WI_Volk.Field.ANGB.726436_US.Normals.2006-2020.zip")</f>
        <v>https://climate.onebuilding.org/WMO_Region_4_North_and_Central_America/USA_United_States_of_America/WI_Wisconsin/USA_WI_Volk.Field.ANGB.726436_US.Normals.2006-2020.zip</v>
      </c>
    </row>
    <row r="1930" spans="1:10" x14ac:dyDescent="0.25">
      <c r="A1930" t="s">
        <v>35</v>
      </c>
      <c r="B1930" t="s">
        <v>1177</v>
      </c>
      <c r="C1930" t="s">
        <v>1196</v>
      </c>
      <c r="D1930" s="2">
        <v>726463</v>
      </c>
      <c r="E1930" t="s">
        <v>13</v>
      </c>
      <c r="F1930">
        <v>44.925800000000002</v>
      </c>
      <c r="G1930">
        <v>-89.625600000000006</v>
      </c>
      <c r="H1930">
        <v>-6</v>
      </c>
      <c r="I1930">
        <v>360</v>
      </c>
      <c r="J1930" t="str">
        <f>HYPERLINK("https://climate.onebuilding.org/WMO_Region_4_North_and_Central_America/USA_United_States_of_America/WI_Wisconsin/USA_WI_Wausau.Downtown.AP.726463_US.Normals.1991-2020.zip")</f>
        <v>https://climate.onebuilding.org/WMO_Region_4_North_and_Central_America/USA_United_States_of_America/WI_Wisconsin/USA_WI_Wausau.Downtown.AP.726463_US.Normals.1991-2020.zip</v>
      </c>
    </row>
    <row r="1931" spans="1:10" x14ac:dyDescent="0.25">
      <c r="A1931" t="s">
        <v>35</v>
      </c>
      <c r="B1931" t="s">
        <v>1177</v>
      </c>
      <c r="C1931" t="s">
        <v>1196</v>
      </c>
      <c r="D1931" s="2">
        <v>726463</v>
      </c>
      <c r="E1931" t="s">
        <v>13</v>
      </c>
      <c r="F1931">
        <v>44.925800000000002</v>
      </c>
      <c r="G1931">
        <v>-89.625600000000006</v>
      </c>
      <c r="H1931">
        <v>-6</v>
      </c>
      <c r="I1931">
        <v>360</v>
      </c>
      <c r="J1931" t="str">
        <f>HYPERLINK("https://climate.onebuilding.org/WMO_Region_4_North_and_Central_America/USA_United_States_of_America/WI_Wisconsin/USA_WI_Wausau.Downtown.AP.726463_US.Normals.2006-2020.zip")</f>
        <v>https://climate.onebuilding.org/WMO_Region_4_North_and_Central_America/USA_United_States_of_America/WI_Wisconsin/USA_WI_Wausau.Downtown.AP.726463_US.Normals.2006-2020.zip</v>
      </c>
    </row>
    <row r="1932" spans="1:10" x14ac:dyDescent="0.25">
      <c r="A1932" t="s">
        <v>35</v>
      </c>
      <c r="B1932" t="s">
        <v>1177</v>
      </c>
      <c r="C1932" t="s">
        <v>1197</v>
      </c>
      <c r="D1932" s="2">
        <v>726452</v>
      </c>
      <c r="E1932" t="s">
        <v>13</v>
      </c>
      <c r="F1932">
        <v>44.359200000000001</v>
      </c>
      <c r="G1932">
        <v>-89.8369</v>
      </c>
      <c r="H1932">
        <v>-6</v>
      </c>
      <c r="I1932">
        <v>310.60000000000002</v>
      </c>
      <c r="J1932" t="str">
        <f>HYPERLINK("https://climate.onebuilding.org/WMO_Region_4_North_and_Central_America/USA_United_States_of_America/WI_Wisconsin/USA_WI_Wisconsin.Rapids-South.Wood.County.AP-Alexander.Field.726452_US.Normals.2006-2020.zip")</f>
        <v>https://climate.onebuilding.org/WMO_Region_4_North_and_Central_America/USA_United_States_of_America/WI_Wisconsin/USA_WI_Wisconsin.Rapids-South.Wood.County.AP-Alexander.Field.726452_US.Normals.2006-2020.zip</v>
      </c>
    </row>
    <row r="1933" spans="1:10" x14ac:dyDescent="0.25">
      <c r="A1933" t="s">
        <v>35</v>
      </c>
      <c r="B1933" t="s">
        <v>1198</v>
      </c>
      <c r="C1933" t="s">
        <v>1199</v>
      </c>
      <c r="D1933" s="2">
        <v>724120</v>
      </c>
      <c r="E1933" t="s">
        <v>13</v>
      </c>
      <c r="F1933">
        <v>37.7836</v>
      </c>
      <c r="G1933">
        <v>-81.123099999999994</v>
      </c>
      <c r="H1933">
        <v>-5</v>
      </c>
      <c r="I1933">
        <v>766.3</v>
      </c>
      <c r="J1933" t="str">
        <f>HYPERLINK("https://climate.onebuilding.org/WMO_Region_4_North_and_Central_America/USA_United_States_of_America/WV_West_Virginia/USA_WV_Beckley-Raleigh.County.Meml.AP.724120_US.Normals.1981-2010.zip")</f>
        <v>https://climate.onebuilding.org/WMO_Region_4_North_and_Central_America/USA_United_States_of_America/WV_West_Virginia/USA_WV_Beckley-Raleigh.County.Meml.AP.724120_US.Normals.1981-2010.zip</v>
      </c>
    </row>
    <row r="1934" spans="1:10" x14ac:dyDescent="0.25">
      <c r="A1934" t="s">
        <v>35</v>
      </c>
      <c r="B1934" t="s">
        <v>1198</v>
      </c>
      <c r="C1934" t="s">
        <v>1199</v>
      </c>
      <c r="D1934" s="2">
        <v>724120</v>
      </c>
      <c r="E1934" t="s">
        <v>13</v>
      </c>
      <c r="F1934">
        <v>37.7836</v>
      </c>
      <c r="G1934">
        <v>-81.123099999999994</v>
      </c>
      <c r="H1934">
        <v>-5</v>
      </c>
      <c r="I1934">
        <v>766.3</v>
      </c>
      <c r="J1934" t="str">
        <f>HYPERLINK("https://climate.onebuilding.org/WMO_Region_4_North_and_Central_America/USA_United_States_of_America/WV_West_Virginia/USA_WV_Beckley-Raleigh.County.Meml.AP.724120_US.Normals.1991-2020.zip")</f>
        <v>https://climate.onebuilding.org/WMO_Region_4_North_and_Central_America/USA_United_States_of_America/WV_West_Virginia/USA_WV_Beckley-Raleigh.County.Meml.AP.724120_US.Normals.1991-2020.zip</v>
      </c>
    </row>
    <row r="1935" spans="1:10" x14ac:dyDescent="0.25">
      <c r="A1935" t="s">
        <v>35</v>
      </c>
      <c r="B1935" t="s">
        <v>1198</v>
      </c>
      <c r="C1935" t="s">
        <v>1199</v>
      </c>
      <c r="D1935" s="2">
        <v>724120</v>
      </c>
      <c r="E1935" t="s">
        <v>13</v>
      </c>
      <c r="F1935">
        <v>37.7836</v>
      </c>
      <c r="G1935">
        <v>-81.123099999999994</v>
      </c>
      <c r="H1935">
        <v>-5</v>
      </c>
      <c r="I1935">
        <v>766.3</v>
      </c>
      <c r="J1935" t="str">
        <f>HYPERLINK("https://climate.onebuilding.org/WMO_Region_4_North_and_Central_America/USA_United_States_of_America/WV_West_Virginia/USA_WV_Beckley-Raleigh.County.Meml.AP.724120_US.Normals.2006-2020.zip")</f>
        <v>https://climate.onebuilding.org/WMO_Region_4_North_and_Central_America/USA_United_States_of_America/WV_West_Virginia/USA_WV_Beckley-Raleigh.County.Meml.AP.724120_US.Normals.2006-2020.zip</v>
      </c>
    </row>
    <row r="1936" spans="1:10" x14ac:dyDescent="0.25">
      <c r="A1936" t="s">
        <v>35</v>
      </c>
      <c r="B1936" t="s">
        <v>1198</v>
      </c>
      <c r="C1936" t="s">
        <v>1200</v>
      </c>
      <c r="D1936" s="2">
        <v>724125</v>
      </c>
      <c r="E1936" t="s">
        <v>13</v>
      </c>
      <c r="F1936">
        <v>37.2958</v>
      </c>
      <c r="G1936">
        <v>-81.207800000000006</v>
      </c>
      <c r="H1936">
        <v>-5</v>
      </c>
      <c r="I1936">
        <v>874.8</v>
      </c>
      <c r="J1936" t="str">
        <f>HYPERLINK("https://climate.onebuilding.org/WMO_Region_4_North_and_Central_America/USA_United_States_of_America/WV_West_Virginia/USA_WV_Bluefield-Mercer.County.AP.724125_US.Normals.2006-2020.zip")</f>
        <v>https://climate.onebuilding.org/WMO_Region_4_North_and_Central_America/USA_United_States_of_America/WV_West_Virginia/USA_WV_Bluefield-Mercer.County.AP.724125_US.Normals.2006-2020.zip</v>
      </c>
    </row>
    <row r="1937" spans="1:10" x14ac:dyDescent="0.25">
      <c r="A1937" t="s">
        <v>35</v>
      </c>
      <c r="B1937" t="s">
        <v>1198</v>
      </c>
      <c r="C1937" t="s">
        <v>1201</v>
      </c>
      <c r="D1937" s="2">
        <v>724140</v>
      </c>
      <c r="E1937" t="s">
        <v>13</v>
      </c>
      <c r="F1937">
        <v>38.379399999999997</v>
      </c>
      <c r="G1937">
        <v>-81.59</v>
      </c>
      <c r="H1937">
        <v>-5</v>
      </c>
      <c r="I1937">
        <v>277.39999999999998</v>
      </c>
      <c r="J1937" t="str">
        <f>HYPERLINK("https://climate.onebuilding.org/WMO_Region_4_North_and_Central_America/USA_United_States_of_America/WV_West_Virginia/USA_WV_Charleston-Yeager.AP.724140_US.Normals.1981-2010.zip")</f>
        <v>https://climate.onebuilding.org/WMO_Region_4_North_and_Central_America/USA_United_States_of_America/WV_West_Virginia/USA_WV_Charleston-Yeager.AP.724140_US.Normals.1981-2010.zip</v>
      </c>
    </row>
    <row r="1938" spans="1:10" x14ac:dyDescent="0.25">
      <c r="A1938" t="s">
        <v>35</v>
      </c>
      <c r="B1938" t="s">
        <v>1198</v>
      </c>
      <c r="C1938" t="s">
        <v>1201</v>
      </c>
      <c r="D1938" s="2">
        <v>724140</v>
      </c>
      <c r="E1938" t="s">
        <v>13</v>
      </c>
      <c r="F1938">
        <v>38.379399999999997</v>
      </c>
      <c r="G1938">
        <v>-81.59</v>
      </c>
      <c r="H1938">
        <v>-5</v>
      </c>
      <c r="I1938">
        <v>277.39999999999998</v>
      </c>
      <c r="J1938" t="str">
        <f>HYPERLINK("https://climate.onebuilding.org/WMO_Region_4_North_and_Central_America/USA_United_States_of_America/WV_West_Virginia/USA_WV_Charleston-Yeager.AP.724140_US.Normals.1991-2020.zip")</f>
        <v>https://climate.onebuilding.org/WMO_Region_4_North_and_Central_America/USA_United_States_of_America/WV_West_Virginia/USA_WV_Charleston-Yeager.AP.724140_US.Normals.1991-2020.zip</v>
      </c>
    </row>
    <row r="1939" spans="1:10" x14ac:dyDescent="0.25">
      <c r="A1939" t="s">
        <v>35</v>
      </c>
      <c r="B1939" t="s">
        <v>1198</v>
      </c>
      <c r="C1939" t="s">
        <v>1201</v>
      </c>
      <c r="D1939" s="2">
        <v>724140</v>
      </c>
      <c r="E1939" t="s">
        <v>13</v>
      </c>
      <c r="F1939">
        <v>38.379399999999997</v>
      </c>
      <c r="G1939">
        <v>-81.59</v>
      </c>
      <c r="H1939">
        <v>-5</v>
      </c>
      <c r="I1939">
        <v>277.39999999999998</v>
      </c>
      <c r="J1939" t="str">
        <f>HYPERLINK("https://climate.onebuilding.org/WMO_Region_4_North_and_Central_America/USA_United_States_of_America/WV_West_Virginia/USA_WV_Charleston-Yeager.AP.724140_US.Normals.2006-2020.zip")</f>
        <v>https://climate.onebuilding.org/WMO_Region_4_North_and_Central_America/USA_United_States_of_America/WV_West_Virginia/USA_WV_Charleston-Yeager.AP.724140_US.Normals.2006-2020.zip</v>
      </c>
    </row>
    <row r="1940" spans="1:10" x14ac:dyDescent="0.25">
      <c r="A1940" t="s">
        <v>35</v>
      </c>
      <c r="B1940" t="s">
        <v>1198</v>
      </c>
      <c r="C1940" t="s">
        <v>1202</v>
      </c>
      <c r="D1940" s="2">
        <v>724175</v>
      </c>
      <c r="E1940" t="s">
        <v>13</v>
      </c>
      <c r="F1940">
        <v>39.2956</v>
      </c>
      <c r="G1940">
        <v>-80.228899999999996</v>
      </c>
      <c r="H1940">
        <v>-5</v>
      </c>
      <c r="I1940">
        <v>366.7</v>
      </c>
      <c r="J1940" t="str">
        <f>HYPERLINK("https://climate.onebuilding.org/WMO_Region_4_North_and_Central_America/USA_United_States_of_America/WV_West_Virginia/USA_WV_Clarksburg-Bridgeport-North.Central.West.Virginia.AP.724175_US.Normals.2006-2020.zip")</f>
        <v>https://climate.onebuilding.org/WMO_Region_4_North_and_Central_America/USA_United_States_of_America/WV_West_Virginia/USA_WV_Clarksburg-Bridgeport-North.Central.West.Virginia.AP.724175_US.Normals.2006-2020.zip</v>
      </c>
    </row>
    <row r="1941" spans="1:10" x14ac:dyDescent="0.25">
      <c r="A1941" t="s">
        <v>35</v>
      </c>
      <c r="B1941" t="s">
        <v>1198</v>
      </c>
      <c r="C1941" t="s">
        <v>1203</v>
      </c>
      <c r="D1941" s="2">
        <v>724170</v>
      </c>
      <c r="E1941" t="s">
        <v>13</v>
      </c>
      <c r="F1941">
        <v>38.885300000000001</v>
      </c>
      <c r="G1941">
        <v>-79.852800000000002</v>
      </c>
      <c r="H1941">
        <v>-5</v>
      </c>
      <c r="I1941">
        <v>603.20000000000005</v>
      </c>
      <c r="J1941" t="str">
        <f>HYPERLINK("https://climate.onebuilding.org/WMO_Region_4_North_and_Central_America/USA_United_States_of_America/WV_West_Virginia/USA_WV_Elkins-Randolph.County.Rgnl.AP.724170_US.Normals.1981-2010.zip")</f>
        <v>https://climate.onebuilding.org/WMO_Region_4_North_and_Central_America/USA_United_States_of_America/WV_West_Virginia/USA_WV_Elkins-Randolph.County.Rgnl.AP.724170_US.Normals.1981-2010.zip</v>
      </c>
    </row>
    <row r="1942" spans="1:10" x14ac:dyDescent="0.25">
      <c r="A1942" t="s">
        <v>35</v>
      </c>
      <c r="B1942" t="s">
        <v>1198</v>
      </c>
      <c r="C1942" t="s">
        <v>1203</v>
      </c>
      <c r="D1942" s="2">
        <v>724170</v>
      </c>
      <c r="E1942" t="s">
        <v>13</v>
      </c>
      <c r="F1942">
        <v>38.885300000000001</v>
      </c>
      <c r="G1942">
        <v>-79.852800000000002</v>
      </c>
      <c r="H1942">
        <v>-5</v>
      </c>
      <c r="I1942">
        <v>603.20000000000005</v>
      </c>
      <c r="J1942" t="str">
        <f>HYPERLINK("https://climate.onebuilding.org/WMO_Region_4_North_and_Central_America/USA_United_States_of_America/WV_West_Virginia/USA_WV_Elkins-Randolph.County.Rgnl.AP.724170_US.Normals.1991-2020.zip")</f>
        <v>https://climate.onebuilding.org/WMO_Region_4_North_and_Central_America/USA_United_States_of_America/WV_West_Virginia/USA_WV_Elkins-Randolph.County.Rgnl.AP.724170_US.Normals.1991-2020.zip</v>
      </c>
    </row>
    <row r="1943" spans="1:10" x14ac:dyDescent="0.25">
      <c r="A1943" t="s">
        <v>35</v>
      </c>
      <c r="B1943" t="s">
        <v>1198</v>
      </c>
      <c r="C1943" t="s">
        <v>1203</v>
      </c>
      <c r="D1943" s="2">
        <v>724170</v>
      </c>
      <c r="E1943" t="s">
        <v>13</v>
      </c>
      <c r="F1943">
        <v>38.885300000000001</v>
      </c>
      <c r="G1943">
        <v>-79.852800000000002</v>
      </c>
      <c r="H1943">
        <v>-5</v>
      </c>
      <c r="I1943">
        <v>603.20000000000005</v>
      </c>
      <c r="J1943" t="str">
        <f>HYPERLINK("https://climate.onebuilding.org/WMO_Region_4_North_and_Central_America/USA_United_States_of_America/WV_West_Virginia/USA_WV_Elkins-Randolph.County.Rgnl.AP.724170_US.Normals.2006-2020.zip")</f>
        <v>https://climate.onebuilding.org/WMO_Region_4_North_and_Central_America/USA_United_States_of_America/WV_West_Virginia/USA_WV_Elkins-Randolph.County.Rgnl.AP.724170_US.Normals.2006-2020.zip</v>
      </c>
    </row>
    <row r="1944" spans="1:10" x14ac:dyDescent="0.25">
      <c r="A1944" t="s">
        <v>35</v>
      </c>
      <c r="B1944" t="s">
        <v>1198</v>
      </c>
      <c r="C1944" t="s">
        <v>1204</v>
      </c>
      <c r="D1944" s="2">
        <v>724370</v>
      </c>
      <c r="E1944" t="s">
        <v>13</v>
      </c>
      <c r="F1944">
        <v>39.013100000000001</v>
      </c>
      <c r="G1944">
        <v>-79.474199999999996</v>
      </c>
      <c r="H1944">
        <v>-5</v>
      </c>
      <c r="I1944">
        <v>1033.3</v>
      </c>
      <c r="J1944" t="str">
        <f>HYPERLINK("https://climate.onebuilding.org/WMO_Region_4_North_and_Central_America/USA_United_States_of_America/WV_West_Virginia/USA_WV_Elkins.21.ENE.724370_US.Normals.2006-2020.zip")</f>
        <v>https://climate.onebuilding.org/WMO_Region_4_North_and_Central_America/USA_United_States_of_America/WV_West_Virginia/USA_WV_Elkins.21.ENE.724370_US.Normals.2006-2020.zip</v>
      </c>
    </row>
    <row r="1945" spans="1:10" x14ac:dyDescent="0.25">
      <c r="A1945" t="s">
        <v>35</v>
      </c>
      <c r="B1945" t="s">
        <v>1198</v>
      </c>
      <c r="C1945" t="s">
        <v>1205</v>
      </c>
      <c r="D1945" s="2">
        <v>724250</v>
      </c>
      <c r="E1945" t="s">
        <v>13</v>
      </c>
      <c r="F1945">
        <v>38.365000000000002</v>
      </c>
      <c r="G1945">
        <v>-82.555000000000007</v>
      </c>
      <c r="H1945">
        <v>-6</v>
      </c>
      <c r="I1945">
        <v>251.2</v>
      </c>
      <c r="J1945" t="str">
        <f>HYPERLINK("https://climate.onebuilding.org/WMO_Region_4_North_and_Central_America/USA_United_States_of_America/WV_West_Virginia/USA_WV_Huntington-Tri-State.AP-Ferguson.Field.724250_US.Normals.1981-2010.zip")</f>
        <v>https://climate.onebuilding.org/WMO_Region_4_North_and_Central_America/USA_United_States_of_America/WV_West_Virginia/USA_WV_Huntington-Tri-State.AP-Ferguson.Field.724250_US.Normals.1981-2010.zip</v>
      </c>
    </row>
    <row r="1946" spans="1:10" x14ac:dyDescent="0.25">
      <c r="A1946" t="s">
        <v>35</v>
      </c>
      <c r="B1946" t="s">
        <v>1198</v>
      </c>
      <c r="C1946" t="s">
        <v>1205</v>
      </c>
      <c r="D1946" s="2">
        <v>724250</v>
      </c>
      <c r="E1946" t="s">
        <v>13</v>
      </c>
      <c r="F1946">
        <v>38.365000000000002</v>
      </c>
      <c r="G1946">
        <v>-82.555000000000007</v>
      </c>
      <c r="H1946">
        <v>-6</v>
      </c>
      <c r="I1946">
        <v>251.2</v>
      </c>
      <c r="J1946" t="str">
        <f>HYPERLINK("https://climate.onebuilding.org/WMO_Region_4_North_and_Central_America/USA_United_States_of_America/WV_West_Virginia/USA_WV_Huntington-Tri-State.AP-Ferguson.Field.724250_US.Normals.1991-2020.zip")</f>
        <v>https://climate.onebuilding.org/WMO_Region_4_North_and_Central_America/USA_United_States_of_America/WV_West_Virginia/USA_WV_Huntington-Tri-State.AP-Ferguson.Field.724250_US.Normals.1991-2020.zip</v>
      </c>
    </row>
    <row r="1947" spans="1:10" x14ac:dyDescent="0.25">
      <c r="A1947" t="s">
        <v>35</v>
      </c>
      <c r="B1947" t="s">
        <v>1198</v>
      </c>
      <c r="C1947" t="s">
        <v>1205</v>
      </c>
      <c r="D1947" s="2">
        <v>724250</v>
      </c>
      <c r="E1947" t="s">
        <v>13</v>
      </c>
      <c r="F1947">
        <v>38.365000000000002</v>
      </c>
      <c r="G1947">
        <v>-82.555000000000007</v>
      </c>
      <c r="H1947">
        <v>-6</v>
      </c>
      <c r="I1947">
        <v>251.2</v>
      </c>
      <c r="J1947" t="str">
        <f>HYPERLINK("https://climate.onebuilding.org/WMO_Region_4_North_and_Central_America/USA_United_States_of_America/WV_West_Virginia/USA_WV_Huntington-Tri-State.AP-Ferguson.Field.724250_US.Normals.2006-2020.zip")</f>
        <v>https://climate.onebuilding.org/WMO_Region_4_North_and_Central_America/USA_United_States_of_America/WV_West_Virginia/USA_WV_Huntington-Tri-State.AP-Ferguson.Field.724250_US.Normals.2006-2020.zip</v>
      </c>
    </row>
    <row r="1948" spans="1:10" x14ac:dyDescent="0.25">
      <c r="A1948" t="s">
        <v>35</v>
      </c>
      <c r="B1948" t="s">
        <v>1198</v>
      </c>
      <c r="C1948" t="s">
        <v>1206</v>
      </c>
      <c r="D1948" s="2">
        <v>724177</v>
      </c>
      <c r="E1948" t="s">
        <v>13</v>
      </c>
      <c r="F1948">
        <v>39.401899999999998</v>
      </c>
      <c r="G1948">
        <v>-77.984399999999994</v>
      </c>
      <c r="H1948">
        <v>-5</v>
      </c>
      <c r="I1948">
        <v>162.80000000000001</v>
      </c>
      <c r="J1948" t="str">
        <f>HYPERLINK("https://climate.onebuilding.org/WMO_Region_4_North_and_Central_America/USA_United_States_of_America/WV_West_Virginia/USA_WV_Martinsburg-Eastern.West.Virginia.Rgnl.AP-Shepherd.Field.724177_US.Normals.1981-2010.zip")</f>
        <v>https://climate.onebuilding.org/WMO_Region_4_North_and_Central_America/USA_United_States_of_America/WV_West_Virginia/USA_WV_Martinsburg-Eastern.West.Virginia.Rgnl.AP-Shepherd.Field.724177_US.Normals.1981-2010.zip</v>
      </c>
    </row>
    <row r="1949" spans="1:10" x14ac:dyDescent="0.25">
      <c r="A1949" t="s">
        <v>35</v>
      </c>
      <c r="B1949" t="s">
        <v>1198</v>
      </c>
      <c r="C1949" t="s">
        <v>1206</v>
      </c>
      <c r="D1949" s="2">
        <v>724177</v>
      </c>
      <c r="E1949" t="s">
        <v>13</v>
      </c>
      <c r="F1949">
        <v>39.401899999999998</v>
      </c>
      <c r="G1949">
        <v>-77.984399999999994</v>
      </c>
      <c r="H1949">
        <v>-5</v>
      </c>
      <c r="I1949">
        <v>162.80000000000001</v>
      </c>
      <c r="J1949" t="str">
        <f>HYPERLINK("https://climate.onebuilding.org/WMO_Region_4_North_and_Central_America/USA_United_States_of_America/WV_West_Virginia/USA_WV_Martinsburg-Eastern.West.Virginia.Rgnl.AP-Shepherd.Field.724177_US.Normals.1991-2020.zip")</f>
        <v>https://climate.onebuilding.org/WMO_Region_4_North_and_Central_America/USA_United_States_of_America/WV_West_Virginia/USA_WV_Martinsburg-Eastern.West.Virginia.Rgnl.AP-Shepherd.Field.724177_US.Normals.1991-2020.zip</v>
      </c>
    </row>
    <row r="1950" spans="1:10" x14ac:dyDescent="0.25">
      <c r="A1950" t="s">
        <v>35</v>
      </c>
      <c r="B1950" t="s">
        <v>1198</v>
      </c>
      <c r="C1950" t="s">
        <v>1206</v>
      </c>
      <c r="D1950" s="2">
        <v>724177</v>
      </c>
      <c r="E1950" t="s">
        <v>13</v>
      </c>
      <c r="F1950">
        <v>39.401899999999998</v>
      </c>
      <c r="G1950">
        <v>-77.984399999999994</v>
      </c>
      <c r="H1950">
        <v>-5</v>
      </c>
      <c r="I1950">
        <v>162.80000000000001</v>
      </c>
      <c r="J1950" t="str">
        <f>HYPERLINK("https://climate.onebuilding.org/WMO_Region_4_North_and_Central_America/USA_United_States_of_America/WV_West_Virginia/USA_WV_Martinsburg-Eastern.West.Virginia.Rgnl.AP-Shepherd.Field.724177_US.Normals.2006-2020.zip")</f>
        <v>https://climate.onebuilding.org/WMO_Region_4_North_and_Central_America/USA_United_States_of_America/WV_West_Virginia/USA_WV_Martinsburg-Eastern.West.Virginia.Rgnl.AP-Shepherd.Field.724177_US.Normals.2006-2020.zip</v>
      </c>
    </row>
    <row r="1951" spans="1:10" x14ac:dyDescent="0.25">
      <c r="A1951" t="s">
        <v>35</v>
      </c>
      <c r="B1951" t="s">
        <v>1198</v>
      </c>
      <c r="C1951" t="s">
        <v>1207</v>
      </c>
      <c r="D1951" s="2">
        <v>724176</v>
      </c>
      <c r="E1951" t="s">
        <v>13</v>
      </c>
      <c r="F1951">
        <v>39.642800000000001</v>
      </c>
      <c r="G1951">
        <v>-79.916399999999996</v>
      </c>
      <c r="H1951">
        <v>-5</v>
      </c>
      <c r="I1951">
        <v>378</v>
      </c>
      <c r="J1951" t="str">
        <f>HYPERLINK("https://climate.onebuilding.org/WMO_Region_4_North_and_Central_America/USA_United_States_of_America/WV_West_Virginia/USA_WV_Morgantown.Muni.AP-Hart.Field.724176_US.Normals.1981-2010.zip")</f>
        <v>https://climate.onebuilding.org/WMO_Region_4_North_and_Central_America/USA_United_States_of_America/WV_West_Virginia/USA_WV_Morgantown.Muni.AP-Hart.Field.724176_US.Normals.1981-2010.zip</v>
      </c>
    </row>
    <row r="1952" spans="1:10" x14ac:dyDescent="0.25">
      <c r="A1952" t="s">
        <v>35</v>
      </c>
      <c r="B1952" t="s">
        <v>1198</v>
      </c>
      <c r="C1952" t="s">
        <v>1207</v>
      </c>
      <c r="D1952" s="2">
        <v>724176</v>
      </c>
      <c r="E1952" t="s">
        <v>13</v>
      </c>
      <c r="F1952">
        <v>39.642800000000001</v>
      </c>
      <c r="G1952">
        <v>-79.916399999999996</v>
      </c>
      <c r="H1952">
        <v>-5</v>
      </c>
      <c r="I1952">
        <v>378</v>
      </c>
      <c r="J1952" t="str">
        <f>HYPERLINK("https://climate.onebuilding.org/WMO_Region_4_North_and_Central_America/USA_United_States_of_America/WV_West_Virginia/USA_WV_Morgantown.Muni.AP-Hart.Field.724176_US.Normals.1991-2020.zip")</f>
        <v>https://climate.onebuilding.org/WMO_Region_4_North_and_Central_America/USA_United_States_of_America/WV_West_Virginia/USA_WV_Morgantown.Muni.AP-Hart.Field.724176_US.Normals.1991-2020.zip</v>
      </c>
    </row>
    <row r="1953" spans="1:10" x14ac:dyDescent="0.25">
      <c r="A1953" t="s">
        <v>35</v>
      </c>
      <c r="B1953" t="s">
        <v>1198</v>
      </c>
      <c r="C1953" t="s">
        <v>1207</v>
      </c>
      <c r="D1953" s="2">
        <v>724176</v>
      </c>
      <c r="E1953" t="s">
        <v>13</v>
      </c>
      <c r="F1953">
        <v>39.642800000000001</v>
      </c>
      <c r="G1953">
        <v>-79.916399999999996</v>
      </c>
      <c r="H1953">
        <v>-5</v>
      </c>
      <c r="I1953">
        <v>378</v>
      </c>
      <c r="J1953" t="str">
        <f>HYPERLINK("https://climate.onebuilding.org/WMO_Region_4_North_and_Central_America/USA_United_States_of_America/WV_West_Virginia/USA_WV_Morgantown.Muni.AP-Hart.Field.724176_US.Normals.2006-2020.zip")</f>
        <v>https://climate.onebuilding.org/WMO_Region_4_North_and_Central_America/USA_United_States_of_America/WV_West_Virginia/USA_WV_Morgantown.Muni.AP-Hart.Field.724176_US.Normals.2006-2020.zip</v>
      </c>
    </row>
    <row r="1954" spans="1:10" x14ac:dyDescent="0.25">
      <c r="A1954" t="s">
        <v>35</v>
      </c>
      <c r="B1954" t="s">
        <v>1198</v>
      </c>
      <c r="C1954" t="s">
        <v>1208</v>
      </c>
      <c r="D1954" s="2">
        <v>724273</v>
      </c>
      <c r="E1954" t="s">
        <v>13</v>
      </c>
      <c r="F1954">
        <v>39.344999999999999</v>
      </c>
      <c r="G1954">
        <v>-81.4392</v>
      </c>
      <c r="H1954">
        <v>-5</v>
      </c>
      <c r="I1954">
        <v>253.3</v>
      </c>
      <c r="J1954" t="str">
        <f>HYPERLINK("https://climate.onebuilding.org/WMO_Region_4_North_and_Central_America/USA_United_States_of_America/WV_West_Virginia/USA_WV_Parkersburg-Mid-Ohio.Valley.Rgnl.AP-Wilson.Field.724273_US.Normals.1991-2020.zip")</f>
        <v>https://climate.onebuilding.org/WMO_Region_4_North_and_Central_America/USA_United_States_of_America/WV_West_Virginia/USA_WV_Parkersburg-Mid-Ohio.Valley.Rgnl.AP-Wilson.Field.724273_US.Normals.1991-2020.zip</v>
      </c>
    </row>
    <row r="1955" spans="1:10" x14ac:dyDescent="0.25">
      <c r="A1955" t="s">
        <v>35</v>
      </c>
      <c r="B1955" t="s">
        <v>1198</v>
      </c>
      <c r="C1955" t="s">
        <v>1208</v>
      </c>
      <c r="D1955" s="2">
        <v>724273</v>
      </c>
      <c r="E1955" t="s">
        <v>13</v>
      </c>
      <c r="F1955">
        <v>39.344999999999999</v>
      </c>
      <c r="G1955">
        <v>-81.4392</v>
      </c>
      <c r="H1955">
        <v>-5</v>
      </c>
      <c r="I1955">
        <v>253.3</v>
      </c>
      <c r="J1955" t="str">
        <f>HYPERLINK("https://climate.onebuilding.org/WMO_Region_4_North_and_Central_America/USA_United_States_of_America/WV_West_Virginia/USA_WV_Parkersburg-Mid-Ohio.Valley.Rgnl.AP-Wilson.Field.724273_US.Normals.2006-2020.zip")</f>
        <v>https://climate.onebuilding.org/WMO_Region_4_North_and_Central_America/USA_United_States_of_America/WV_West_Virginia/USA_WV_Parkersburg-Mid-Ohio.Valley.Rgnl.AP-Wilson.Field.724273_US.Normals.2006-2020.zip</v>
      </c>
    </row>
    <row r="1956" spans="1:10" x14ac:dyDescent="0.25">
      <c r="A1956" t="s">
        <v>35</v>
      </c>
      <c r="B1956" t="s">
        <v>1198</v>
      </c>
      <c r="C1956" t="s">
        <v>1209</v>
      </c>
      <c r="D1956" s="2">
        <v>724275</v>
      </c>
      <c r="E1956" t="s">
        <v>13</v>
      </c>
      <c r="F1956">
        <v>40.176400000000001</v>
      </c>
      <c r="G1956">
        <v>-80.647199999999998</v>
      </c>
      <c r="H1956">
        <v>-5</v>
      </c>
      <c r="I1956">
        <v>359.4</v>
      </c>
      <c r="J1956" t="str">
        <f>HYPERLINK("https://climate.onebuilding.org/WMO_Region_4_North_and_Central_America/USA_United_States_of_America/WV_West_Virginia/USA_WV_Wheeling.Ohio.County.AP.724275_US.Normals.2006-2020.zip")</f>
        <v>https://climate.onebuilding.org/WMO_Region_4_North_and_Central_America/USA_United_States_of_America/WV_West_Virginia/USA_WV_Wheeling.Ohio.County.AP.724275_US.Normals.2006-2020.zip</v>
      </c>
    </row>
    <row r="1957" spans="1:10" x14ac:dyDescent="0.25">
      <c r="A1957" t="s">
        <v>35</v>
      </c>
      <c r="B1957" t="s">
        <v>1210</v>
      </c>
      <c r="C1957" t="s">
        <v>1211</v>
      </c>
      <c r="D1957" s="2">
        <v>726710</v>
      </c>
      <c r="E1957" t="s">
        <v>13</v>
      </c>
      <c r="F1957">
        <v>42.584400000000002</v>
      </c>
      <c r="G1957">
        <v>-110.1075</v>
      </c>
      <c r="H1957">
        <v>-7</v>
      </c>
      <c r="I1957">
        <v>2124.5</v>
      </c>
      <c r="J1957" t="str">
        <f>HYPERLINK("https://climate.onebuilding.org/WMO_Region_4_North_and_Central_America/USA_United_States_of_America/WY_Wyoming/USA_WY_Big.Piney-Marbleton.AP.726710_US.Normals.1991-2020.zip")</f>
        <v>https://climate.onebuilding.org/WMO_Region_4_North_and_Central_America/USA_United_States_of_America/WY_Wyoming/USA_WY_Big.Piney-Marbleton.AP.726710_US.Normals.1991-2020.zip</v>
      </c>
    </row>
    <row r="1958" spans="1:10" x14ac:dyDescent="0.25">
      <c r="A1958" t="s">
        <v>35</v>
      </c>
      <c r="B1958" t="s">
        <v>1210</v>
      </c>
      <c r="C1958" t="s">
        <v>1211</v>
      </c>
      <c r="D1958" s="2">
        <v>726710</v>
      </c>
      <c r="E1958" t="s">
        <v>13</v>
      </c>
      <c r="F1958">
        <v>42.584400000000002</v>
      </c>
      <c r="G1958">
        <v>-110.1075</v>
      </c>
      <c r="H1958">
        <v>-7</v>
      </c>
      <c r="I1958">
        <v>2124.5</v>
      </c>
      <c r="J1958" t="str">
        <f>HYPERLINK("https://climate.onebuilding.org/WMO_Region_4_North_and_Central_America/USA_United_States_of_America/WY_Wyoming/USA_WY_Big.Piney-Marbleton.AP.726710_US.Normals.2006-2020.zip")</f>
        <v>https://climate.onebuilding.org/WMO_Region_4_North_and_Central_America/USA_United_States_of_America/WY_Wyoming/USA_WY_Big.Piney-Marbleton.AP.726710_US.Normals.2006-2020.zip</v>
      </c>
    </row>
    <row r="1959" spans="1:10" x14ac:dyDescent="0.25">
      <c r="A1959" t="s">
        <v>35</v>
      </c>
      <c r="B1959" t="s">
        <v>1210</v>
      </c>
      <c r="C1959" t="s">
        <v>1212</v>
      </c>
      <c r="D1959" s="2">
        <v>726654</v>
      </c>
      <c r="E1959" t="s">
        <v>13</v>
      </c>
      <c r="F1959">
        <v>44.381399999999999</v>
      </c>
      <c r="G1959">
        <v>-106.72110000000001</v>
      </c>
      <c r="H1959">
        <v>-7</v>
      </c>
      <c r="I1959">
        <v>1513.9</v>
      </c>
      <c r="J1959" t="str">
        <f>HYPERLINK("https://climate.onebuilding.org/WMO_Region_4_North_and_Central_America/USA_United_States_of_America/WY_Wyoming/USA_WY_Buffalo-Johnson.County.AP.726654_US.Normals.2006-2020.zip")</f>
        <v>https://climate.onebuilding.org/WMO_Region_4_North_and_Central_America/USA_United_States_of_America/WY_Wyoming/USA_WY_Buffalo-Johnson.County.AP.726654_US.Normals.2006-2020.zip</v>
      </c>
    </row>
    <row r="1960" spans="1:10" x14ac:dyDescent="0.25">
      <c r="A1960" t="s">
        <v>35</v>
      </c>
      <c r="B1960" t="s">
        <v>1210</v>
      </c>
      <c r="C1960" t="s">
        <v>1213</v>
      </c>
      <c r="D1960" s="2">
        <v>725690</v>
      </c>
      <c r="E1960" t="s">
        <v>13</v>
      </c>
      <c r="F1960">
        <v>42.897500000000001</v>
      </c>
      <c r="G1960">
        <v>-106.4636</v>
      </c>
      <c r="H1960">
        <v>-7</v>
      </c>
      <c r="I1960">
        <v>1627</v>
      </c>
      <c r="J1960" t="str">
        <f>HYPERLINK("https://climate.onebuilding.org/WMO_Region_4_North_and_Central_America/USA_United_States_of_America/WY_Wyoming/USA_WY_Casper-Natrona.County.Intl.AP.725690_US.Normals.1981-2010.zip")</f>
        <v>https://climate.onebuilding.org/WMO_Region_4_North_and_Central_America/USA_United_States_of_America/WY_Wyoming/USA_WY_Casper-Natrona.County.Intl.AP.725690_US.Normals.1981-2010.zip</v>
      </c>
    </row>
    <row r="1961" spans="1:10" x14ac:dyDescent="0.25">
      <c r="A1961" t="s">
        <v>35</v>
      </c>
      <c r="B1961" t="s">
        <v>1210</v>
      </c>
      <c r="C1961" t="s">
        <v>1213</v>
      </c>
      <c r="D1961" s="2">
        <v>725690</v>
      </c>
      <c r="E1961" t="s">
        <v>13</v>
      </c>
      <c r="F1961">
        <v>42.897500000000001</v>
      </c>
      <c r="G1961">
        <v>-106.4636</v>
      </c>
      <c r="H1961">
        <v>-7</v>
      </c>
      <c r="I1961">
        <v>1627</v>
      </c>
      <c r="J1961" t="str">
        <f>HYPERLINK("https://climate.onebuilding.org/WMO_Region_4_North_and_Central_America/USA_United_States_of_America/WY_Wyoming/USA_WY_Casper-Natrona.County.Intl.AP.725690_US.Normals.1991-2020.zip")</f>
        <v>https://climate.onebuilding.org/WMO_Region_4_North_and_Central_America/USA_United_States_of_America/WY_Wyoming/USA_WY_Casper-Natrona.County.Intl.AP.725690_US.Normals.1991-2020.zip</v>
      </c>
    </row>
    <row r="1962" spans="1:10" x14ac:dyDescent="0.25">
      <c r="A1962" t="s">
        <v>35</v>
      </c>
      <c r="B1962" t="s">
        <v>1210</v>
      </c>
      <c r="C1962" t="s">
        <v>1213</v>
      </c>
      <c r="D1962" s="2">
        <v>725690</v>
      </c>
      <c r="E1962" t="s">
        <v>13</v>
      </c>
      <c r="F1962">
        <v>42.897500000000001</v>
      </c>
      <c r="G1962">
        <v>-106.4636</v>
      </c>
      <c r="H1962">
        <v>-7</v>
      </c>
      <c r="I1962">
        <v>1627</v>
      </c>
      <c r="J1962" t="str">
        <f>HYPERLINK("https://climate.onebuilding.org/WMO_Region_4_North_and_Central_America/USA_United_States_of_America/WY_Wyoming/USA_WY_Casper-Natrona.County.Intl.AP.725690_US.Normals.2006-2020.zip")</f>
        <v>https://climate.onebuilding.org/WMO_Region_4_North_and_Central_America/USA_United_States_of_America/WY_Wyoming/USA_WY_Casper-Natrona.County.Intl.AP.725690_US.Normals.2006-2020.zip</v>
      </c>
    </row>
    <row r="1963" spans="1:10" x14ac:dyDescent="0.25">
      <c r="A1963" t="s">
        <v>35</v>
      </c>
      <c r="B1963" t="s">
        <v>1210</v>
      </c>
      <c r="C1963" t="s">
        <v>1214</v>
      </c>
      <c r="D1963" s="2">
        <v>725640</v>
      </c>
      <c r="E1963" t="s">
        <v>13</v>
      </c>
      <c r="F1963">
        <v>41.151899999999998</v>
      </c>
      <c r="G1963">
        <v>-104.8061</v>
      </c>
      <c r="H1963">
        <v>-7</v>
      </c>
      <c r="I1963">
        <v>1867.8</v>
      </c>
      <c r="J1963" t="str">
        <f>HYPERLINK("https://climate.onebuilding.org/WMO_Region_4_North_and_Central_America/USA_United_States_of_America/WY_Wyoming/USA_WY_Cheyenne.Rgnl.AP.725640_US.Normals.1981-2010.zip")</f>
        <v>https://climate.onebuilding.org/WMO_Region_4_North_and_Central_America/USA_United_States_of_America/WY_Wyoming/USA_WY_Cheyenne.Rgnl.AP.725640_US.Normals.1981-2010.zip</v>
      </c>
    </row>
    <row r="1964" spans="1:10" x14ac:dyDescent="0.25">
      <c r="A1964" t="s">
        <v>35</v>
      </c>
      <c r="B1964" t="s">
        <v>1210</v>
      </c>
      <c r="C1964" t="s">
        <v>1214</v>
      </c>
      <c r="D1964" s="2">
        <v>725640</v>
      </c>
      <c r="E1964" t="s">
        <v>13</v>
      </c>
      <c r="F1964">
        <v>41.151899999999998</v>
      </c>
      <c r="G1964">
        <v>-104.8061</v>
      </c>
      <c r="H1964">
        <v>-7</v>
      </c>
      <c r="I1964">
        <v>1867.8</v>
      </c>
      <c r="J1964" t="str">
        <f>HYPERLINK("https://climate.onebuilding.org/WMO_Region_4_North_and_Central_America/USA_United_States_of_America/WY_Wyoming/USA_WY_Cheyenne.Rgnl.AP.725640_US.Normals.1991-2020.zip")</f>
        <v>https://climate.onebuilding.org/WMO_Region_4_North_and_Central_America/USA_United_States_of_America/WY_Wyoming/USA_WY_Cheyenne.Rgnl.AP.725640_US.Normals.1991-2020.zip</v>
      </c>
    </row>
    <row r="1965" spans="1:10" x14ac:dyDescent="0.25">
      <c r="A1965" t="s">
        <v>35</v>
      </c>
      <c r="B1965" t="s">
        <v>1210</v>
      </c>
      <c r="C1965" t="s">
        <v>1214</v>
      </c>
      <c r="D1965" s="2">
        <v>725640</v>
      </c>
      <c r="E1965" t="s">
        <v>13</v>
      </c>
      <c r="F1965">
        <v>41.151899999999998</v>
      </c>
      <c r="G1965">
        <v>-104.8061</v>
      </c>
      <c r="H1965">
        <v>-7</v>
      </c>
      <c r="I1965">
        <v>1867.8</v>
      </c>
      <c r="J1965" t="str">
        <f>HYPERLINK("https://climate.onebuilding.org/WMO_Region_4_North_and_Central_America/USA_United_States_of_America/WY_Wyoming/USA_WY_Cheyenne.Rgnl.AP.725640_US.Normals.2006-2020.zip")</f>
        <v>https://climate.onebuilding.org/WMO_Region_4_North_and_Central_America/USA_United_States_of_America/WY_Wyoming/USA_WY_Cheyenne.Rgnl.AP.725640_US.Normals.2006-2020.zip</v>
      </c>
    </row>
    <row r="1966" spans="1:10" x14ac:dyDescent="0.25">
      <c r="A1966" t="s">
        <v>35</v>
      </c>
      <c r="B1966" t="s">
        <v>1210</v>
      </c>
      <c r="C1966" t="s">
        <v>1215</v>
      </c>
      <c r="D1966" s="2">
        <v>725686</v>
      </c>
      <c r="E1966" t="s">
        <v>13</v>
      </c>
      <c r="F1966">
        <v>42.797199999999997</v>
      </c>
      <c r="G1966">
        <v>-105.3856</v>
      </c>
      <c r="H1966">
        <v>-7</v>
      </c>
      <c r="I1966">
        <v>1502.4</v>
      </c>
      <c r="J1966" t="str">
        <f>HYPERLINK("https://climate.onebuilding.org/WMO_Region_4_North_and_Central_America/USA_United_States_of_America/WY_Wyoming/USA_WY_Douglas-Converse.County.AP.725686_US.Normals.2006-2020.zip")</f>
        <v>https://climate.onebuilding.org/WMO_Region_4_North_and_Central_America/USA_United_States_of_America/WY_Wyoming/USA_WY_Douglas-Converse.County.AP.725686_US.Normals.2006-2020.zip</v>
      </c>
    </row>
    <row r="1967" spans="1:10" x14ac:dyDescent="0.25">
      <c r="A1967" t="s">
        <v>35</v>
      </c>
      <c r="B1967" t="s">
        <v>1210</v>
      </c>
      <c r="C1967" t="s">
        <v>1216</v>
      </c>
      <c r="D1967" s="2">
        <v>725775</v>
      </c>
      <c r="E1967" t="s">
        <v>13</v>
      </c>
      <c r="F1967">
        <v>41.273099999999999</v>
      </c>
      <c r="G1967">
        <v>-111.03060000000001</v>
      </c>
      <c r="H1967">
        <v>-7</v>
      </c>
      <c r="I1967">
        <v>2183.3000000000002</v>
      </c>
      <c r="J1967" t="str">
        <f>HYPERLINK("https://climate.onebuilding.org/WMO_Region_4_North_and_Central_America/USA_United_States_of_America/WY_Wyoming/USA_WY_Evanston-Uinta.County.AP-Burns.Field.725775_US.Normals.2006-2020.zip")</f>
        <v>https://climate.onebuilding.org/WMO_Region_4_North_and_Central_America/USA_United_States_of_America/WY_Wyoming/USA_WY_Evanston-Uinta.County.AP-Burns.Field.725775_US.Normals.2006-2020.zip</v>
      </c>
    </row>
    <row r="1968" spans="1:10" x14ac:dyDescent="0.25">
      <c r="A1968" t="s">
        <v>35</v>
      </c>
      <c r="B1968" t="s">
        <v>1210</v>
      </c>
      <c r="C1968" t="s">
        <v>1217</v>
      </c>
      <c r="D1968" s="2">
        <v>726650</v>
      </c>
      <c r="E1968" t="s">
        <v>13</v>
      </c>
      <c r="F1968">
        <v>44.339399999999998</v>
      </c>
      <c r="G1968">
        <v>-105.5419</v>
      </c>
      <c r="H1968">
        <v>-7</v>
      </c>
      <c r="I1968">
        <v>1327.1</v>
      </c>
      <c r="J1968" t="str">
        <f>HYPERLINK("https://climate.onebuilding.org/WMO_Region_4_North_and_Central_America/USA_United_States_of_America/WY_Wyoming/USA_WY_Gillette-Campbell.County.AP.726650_US.Normals.1991-2020.zip")</f>
        <v>https://climate.onebuilding.org/WMO_Region_4_North_and_Central_America/USA_United_States_of_America/WY_Wyoming/USA_WY_Gillette-Campbell.County.AP.726650_US.Normals.1991-2020.zip</v>
      </c>
    </row>
    <row r="1969" spans="1:10" x14ac:dyDescent="0.25">
      <c r="A1969" t="s">
        <v>35</v>
      </c>
      <c r="B1969" t="s">
        <v>1210</v>
      </c>
      <c r="C1969" t="s">
        <v>1217</v>
      </c>
      <c r="D1969" s="2">
        <v>726650</v>
      </c>
      <c r="E1969" t="s">
        <v>13</v>
      </c>
      <c r="F1969">
        <v>44.339399999999998</v>
      </c>
      <c r="G1969">
        <v>-105.5419</v>
      </c>
      <c r="H1969">
        <v>-7</v>
      </c>
      <c r="I1969">
        <v>1327.1</v>
      </c>
      <c r="J1969" t="str">
        <f>HYPERLINK("https://climate.onebuilding.org/WMO_Region_4_North_and_Central_America/USA_United_States_of_America/WY_Wyoming/USA_WY_Gillette-Campbell.County.AP.726650_US.Normals.2006-2020.zip")</f>
        <v>https://climate.onebuilding.org/WMO_Region_4_North_and_Central_America/USA_United_States_of_America/WY_Wyoming/USA_WY_Gillette-Campbell.County.AP.726650_US.Normals.2006-2020.zip</v>
      </c>
    </row>
    <row r="1970" spans="1:10" x14ac:dyDescent="0.25">
      <c r="A1970" t="s">
        <v>35</v>
      </c>
      <c r="B1970" t="s">
        <v>1210</v>
      </c>
      <c r="C1970" t="s">
        <v>1218</v>
      </c>
      <c r="D1970" s="2">
        <v>725740</v>
      </c>
      <c r="E1970" t="s">
        <v>13</v>
      </c>
      <c r="F1970">
        <v>43.6614</v>
      </c>
      <c r="G1970">
        <v>-110.7119</v>
      </c>
      <c r="H1970">
        <v>-7</v>
      </c>
      <c r="I1970">
        <v>1970.8</v>
      </c>
      <c r="J1970" t="str">
        <f>HYPERLINK("https://climate.onebuilding.org/WMO_Region_4_North_and_Central_America/USA_United_States_of_America/WY_Wyoming/USA_WY_Grand.Teton.Natl.Park.725740_US.Normals.2006-2020.zip")</f>
        <v>https://climate.onebuilding.org/WMO_Region_4_North_and_Central_America/USA_United_States_of_America/WY_Wyoming/USA_WY_Grand.Teton.Natl.Park.725740_US.Normals.2006-2020.zip</v>
      </c>
    </row>
    <row r="1971" spans="1:10" x14ac:dyDescent="0.25">
      <c r="A1971" t="s">
        <v>35</v>
      </c>
      <c r="B1971" t="s">
        <v>1210</v>
      </c>
      <c r="C1971" t="s">
        <v>1219</v>
      </c>
      <c r="D1971" s="2">
        <v>726667</v>
      </c>
      <c r="E1971" t="s">
        <v>13</v>
      </c>
      <c r="F1971">
        <v>44.5169</v>
      </c>
      <c r="G1971">
        <v>-108.0822</v>
      </c>
      <c r="H1971">
        <v>-7</v>
      </c>
      <c r="I1971">
        <v>1198.8</v>
      </c>
      <c r="J1971" t="str">
        <f>HYPERLINK("https://climate.onebuilding.org/WMO_Region_4_North_and_Central_America/USA_United_States_of_America/WY_Wyoming/USA_WY_Greybull-South.Big.Horn.County.AP.726667_US.Normals.2006-2020.zip")</f>
        <v>https://climate.onebuilding.org/WMO_Region_4_North_and_Central_America/USA_United_States_of_America/WY_Wyoming/USA_WY_Greybull-South.Big.Horn.County.AP.726667_US.Normals.2006-2020.zip</v>
      </c>
    </row>
    <row r="1972" spans="1:10" x14ac:dyDescent="0.25">
      <c r="A1972" t="s">
        <v>35</v>
      </c>
      <c r="B1972" t="s">
        <v>1210</v>
      </c>
      <c r="C1972" t="s">
        <v>1220</v>
      </c>
      <c r="D1972" s="2">
        <v>725760</v>
      </c>
      <c r="E1972" t="s">
        <v>13</v>
      </c>
      <c r="F1972">
        <v>42.815300000000001</v>
      </c>
      <c r="G1972">
        <v>-108.7261</v>
      </c>
      <c r="H1972">
        <v>-7</v>
      </c>
      <c r="I1972">
        <v>1704.4</v>
      </c>
      <c r="J1972" t="str">
        <f>HYPERLINK("https://climate.onebuilding.org/WMO_Region_4_North_and_Central_America/USA_United_States_of_America/WY_Wyoming/USA_WY_Lander-Hunt.Field.AP.725760_US.Normals.1981-2010.zip")</f>
        <v>https://climate.onebuilding.org/WMO_Region_4_North_and_Central_America/USA_United_States_of_America/WY_Wyoming/USA_WY_Lander-Hunt.Field.AP.725760_US.Normals.1981-2010.zip</v>
      </c>
    </row>
    <row r="1973" spans="1:10" x14ac:dyDescent="0.25">
      <c r="A1973" t="s">
        <v>35</v>
      </c>
      <c r="B1973" t="s">
        <v>1210</v>
      </c>
      <c r="C1973" t="s">
        <v>1220</v>
      </c>
      <c r="D1973" s="2">
        <v>725760</v>
      </c>
      <c r="E1973" t="s">
        <v>13</v>
      </c>
      <c r="F1973">
        <v>42.815300000000001</v>
      </c>
      <c r="G1973">
        <v>-108.7261</v>
      </c>
      <c r="H1973">
        <v>-7</v>
      </c>
      <c r="I1973">
        <v>1704.4</v>
      </c>
      <c r="J1973" t="str">
        <f>HYPERLINK("https://climate.onebuilding.org/WMO_Region_4_North_and_Central_America/USA_United_States_of_America/WY_Wyoming/USA_WY_Lander-Hunt.Field.AP.725760_US.Normals.1991-2020.zip")</f>
        <v>https://climate.onebuilding.org/WMO_Region_4_North_and_Central_America/USA_United_States_of_America/WY_Wyoming/USA_WY_Lander-Hunt.Field.AP.725760_US.Normals.1991-2020.zip</v>
      </c>
    </row>
    <row r="1974" spans="1:10" x14ac:dyDescent="0.25">
      <c r="A1974" t="s">
        <v>35</v>
      </c>
      <c r="B1974" t="s">
        <v>1210</v>
      </c>
      <c r="C1974" t="s">
        <v>1220</v>
      </c>
      <c r="D1974" s="2">
        <v>725760</v>
      </c>
      <c r="E1974" t="s">
        <v>13</v>
      </c>
      <c r="F1974">
        <v>42.815300000000001</v>
      </c>
      <c r="G1974">
        <v>-108.7261</v>
      </c>
      <c r="H1974">
        <v>-7</v>
      </c>
      <c r="I1974">
        <v>1704.4</v>
      </c>
      <c r="J1974" t="str">
        <f>HYPERLINK("https://climate.onebuilding.org/WMO_Region_4_North_and_Central_America/USA_United_States_of_America/WY_Wyoming/USA_WY_Lander-Hunt.Field.AP.725760_US.Normals.2006-2020.zip")</f>
        <v>https://climate.onebuilding.org/WMO_Region_4_North_and_Central_America/USA_United_States_of_America/WY_Wyoming/USA_WY_Lander-Hunt.Field.AP.725760_US.Normals.2006-2020.zip</v>
      </c>
    </row>
    <row r="1975" spans="1:10" x14ac:dyDescent="0.25">
      <c r="A1975" t="s">
        <v>35</v>
      </c>
      <c r="B1975" t="s">
        <v>1210</v>
      </c>
      <c r="C1975" t="s">
        <v>1221</v>
      </c>
      <c r="D1975" s="2">
        <v>725645</v>
      </c>
      <c r="E1975" t="s">
        <v>13</v>
      </c>
      <c r="F1975">
        <v>41.311900000000001</v>
      </c>
      <c r="G1975">
        <v>-105.6747</v>
      </c>
      <c r="H1975">
        <v>-7</v>
      </c>
      <c r="I1975">
        <v>2214.6999999999998</v>
      </c>
      <c r="J1975" t="str">
        <f>HYPERLINK("https://climate.onebuilding.org/WMO_Region_4_North_and_Central_America/USA_United_States_of_America/WY_Wyoming/USA_WY_Laramie.Rgnl.AP-Brees.Field.725645_US.Normals.1991-2020.zip")</f>
        <v>https://climate.onebuilding.org/WMO_Region_4_North_and_Central_America/USA_United_States_of_America/WY_Wyoming/USA_WY_Laramie.Rgnl.AP-Brees.Field.725645_US.Normals.1991-2020.zip</v>
      </c>
    </row>
    <row r="1976" spans="1:10" x14ac:dyDescent="0.25">
      <c r="A1976" t="s">
        <v>35</v>
      </c>
      <c r="B1976" t="s">
        <v>1210</v>
      </c>
      <c r="C1976" t="s">
        <v>1221</v>
      </c>
      <c r="D1976" s="2">
        <v>725645</v>
      </c>
      <c r="E1976" t="s">
        <v>13</v>
      </c>
      <c r="F1976">
        <v>41.311900000000001</v>
      </c>
      <c r="G1976">
        <v>-105.6747</v>
      </c>
      <c r="H1976">
        <v>-7</v>
      </c>
      <c r="I1976">
        <v>2214.6999999999998</v>
      </c>
      <c r="J1976" t="str">
        <f>HYPERLINK("https://climate.onebuilding.org/WMO_Region_4_North_and_Central_America/USA_United_States_of_America/WY_Wyoming/USA_WY_Laramie.Rgnl.AP-Brees.Field.725645_US.Normals.2006-2020.zip")</f>
        <v>https://climate.onebuilding.org/WMO_Region_4_North_and_Central_America/USA_United_States_of_America/WY_Wyoming/USA_WY_Laramie.Rgnl.AP-Brees.Field.725645_US.Normals.2006-2020.zip</v>
      </c>
    </row>
    <row r="1977" spans="1:10" x14ac:dyDescent="0.25">
      <c r="A1977" t="s">
        <v>35</v>
      </c>
      <c r="B1977" t="s">
        <v>1210</v>
      </c>
      <c r="C1977" t="s">
        <v>1222</v>
      </c>
      <c r="D1977" s="2">
        <v>725730</v>
      </c>
      <c r="E1977" t="s">
        <v>13</v>
      </c>
      <c r="F1977">
        <v>42.6753</v>
      </c>
      <c r="G1977">
        <v>-108.6686</v>
      </c>
      <c r="H1977">
        <v>-7</v>
      </c>
      <c r="I1977">
        <v>1759.6</v>
      </c>
      <c r="J1977" t="str">
        <f>HYPERLINK("https://climate.onebuilding.org/WMO_Region_4_North_and_Central_America/USA_United_States_of_America/WY_Wyoming/USA_WY_Nature.Conservancy-Red.Canyon.Ranch.725730_US.Normals.2006-2020.zip")</f>
        <v>https://climate.onebuilding.org/WMO_Region_4_North_and_Central_America/USA_United_States_of_America/WY_Wyoming/USA_WY_Nature.Conservancy-Red.Canyon.Ranch.725730_US.Normals.2006-2020.zip</v>
      </c>
    </row>
    <row r="1978" spans="1:10" x14ac:dyDescent="0.25">
      <c r="A1978" t="s">
        <v>35</v>
      </c>
      <c r="B1978" t="s">
        <v>1210</v>
      </c>
      <c r="C1978" t="s">
        <v>1223</v>
      </c>
      <c r="D1978" s="2">
        <v>726690</v>
      </c>
      <c r="E1978" t="s">
        <v>13</v>
      </c>
      <c r="F1978">
        <v>41.805599999999998</v>
      </c>
      <c r="G1978">
        <v>-107.19970000000001</v>
      </c>
      <c r="H1978">
        <v>-7</v>
      </c>
      <c r="I1978">
        <v>2053.1</v>
      </c>
      <c r="J1978" t="str">
        <f>HYPERLINK("https://climate.onebuilding.org/WMO_Region_4_North_and_Central_America/USA_United_States_of_America/WY_Wyoming/USA_WY_Rawlins.Muni.AP-Harvey.Field.726690_US.Normals.2006-2020.zip")</f>
        <v>https://climate.onebuilding.org/WMO_Region_4_North_and_Central_America/USA_United_States_of_America/WY_Wyoming/USA_WY_Rawlins.Muni.AP-Harvey.Field.726690_US.Normals.2006-2020.zip</v>
      </c>
    </row>
    <row r="1979" spans="1:10" x14ac:dyDescent="0.25">
      <c r="A1979" t="s">
        <v>35</v>
      </c>
      <c r="B1979" t="s">
        <v>1210</v>
      </c>
      <c r="C1979" t="s">
        <v>1224</v>
      </c>
      <c r="D1979" s="2">
        <v>726720</v>
      </c>
      <c r="E1979" t="s">
        <v>13</v>
      </c>
      <c r="F1979">
        <v>43.066099999999999</v>
      </c>
      <c r="G1979">
        <v>-108.47669999999999</v>
      </c>
      <c r="H1979">
        <v>-7</v>
      </c>
      <c r="I1979">
        <v>1697.1</v>
      </c>
      <c r="J1979" t="str">
        <f>HYPERLINK("https://climate.onebuilding.org/WMO_Region_4_North_and_Central_America/USA_United_States_of_America/WY_Wyoming/USA_WY_Riverton.Rgnl.AP.726720_US.Normals.2006-2020.zip")</f>
        <v>https://climate.onebuilding.org/WMO_Region_4_North_and_Central_America/USA_United_States_of_America/WY_Wyoming/USA_WY_Riverton.Rgnl.AP.726720_US.Normals.2006-2020.zip</v>
      </c>
    </row>
    <row r="1980" spans="1:10" x14ac:dyDescent="0.25">
      <c r="A1980" t="s">
        <v>35</v>
      </c>
      <c r="B1980" t="s">
        <v>1210</v>
      </c>
      <c r="C1980" t="s">
        <v>1225</v>
      </c>
      <c r="D1980" s="2">
        <v>725744</v>
      </c>
      <c r="E1980" t="s">
        <v>13</v>
      </c>
      <c r="F1980">
        <v>41.5944</v>
      </c>
      <c r="G1980">
        <v>-109.0528</v>
      </c>
      <c r="H1980">
        <v>-7</v>
      </c>
      <c r="I1980">
        <v>2054.6999999999998</v>
      </c>
      <c r="J1980" t="str">
        <f>HYPERLINK("https://climate.onebuilding.org/WMO_Region_4_North_and_Central_America/USA_United_States_of_America/WY_Wyoming/USA_WY_Rock.Springs-Sweetwater.County.AP.725744_US.Normals.1991-2020.zip")</f>
        <v>https://climate.onebuilding.org/WMO_Region_4_North_and_Central_America/USA_United_States_of_America/WY_Wyoming/USA_WY_Rock.Springs-Sweetwater.County.AP.725744_US.Normals.1991-2020.zip</v>
      </c>
    </row>
    <row r="1981" spans="1:10" x14ac:dyDescent="0.25">
      <c r="A1981" t="s">
        <v>35</v>
      </c>
      <c r="B1981" t="s">
        <v>1210</v>
      </c>
      <c r="C1981" t="s">
        <v>1225</v>
      </c>
      <c r="D1981" s="2">
        <v>725744</v>
      </c>
      <c r="E1981" t="s">
        <v>13</v>
      </c>
      <c r="F1981">
        <v>41.5944</v>
      </c>
      <c r="G1981">
        <v>-109.0528</v>
      </c>
      <c r="H1981">
        <v>-7</v>
      </c>
      <c r="I1981">
        <v>2054.6999999999998</v>
      </c>
      <c r="J1981" t="str">
        <f>HYPERLINK("https://climate.onebuilding.org/WMO_Region_4_North_and_Central_America/USA_United_States_of_America/WY_Wyoming/USA_WY_Rock.Springs-Sweetwater.County.AP.725744_US.Normals.2006-2020.zip")</f>
        <v>https://climate.onebuilding.org/WMO_Region_4_North_and_Central_America/USA_United_States_of_America/WY_Wyoming/USA_WY_Rock.Springs-Sweetwater.County.AP.725744_US.Normals.2006-2020.zip</v>
      </c>
    </row>
    <row r="1982" spans="1:10" x14ac:dyDescent="0.25">
      <c r="A1982" t="s">
        <v>35</v>
      </c>
      <c r="B1982" t="s">
        <v>1210</v>
      </c>
      <c r="C1982" t="s">
        <v>1226</v>
      </c>
      <c r="D1982" s="2">
        <v>726660</v>
      </c>
      <c r="E1982" t="s">
        <v>13</v>
      </c>
      <c r="F1982">
        <v>44.769399999999997</v>
      </c>
      <c r="G1982">
        <v>-106.9689</v>
      </c>
      <c r="H1982">
        <v>-7</v>
      </c>
      <c r="I1982">
        <v>1202.4000000000001</v>
      </c>
      <c r="J1982" t="str">
        <f>HYPERLINK("https://climate.onebuilding.org/WMO_Region_4_North_and_Central_America/USA_United_States_of_America/WY_Wyoming/USA_WY_Sheridan.County.AP.726660_US.Normals.1991-2020.zip")</f>
        <v>https://climate.onebuilding.org/WMO_Region_4_North_and_Central_America/USA_United_States_of_America/WY_Wyoming/USA_WY_Sheridan.County.AP.726660_US.Normals.1991-2020.zip</v>
      </c>
    </row>
    <row r="1983" spans="1:10" x14ac:dyDescent="0.25">
      <c r="A1983" t="s">
        <v>35</v>
      </c>
      <c r="B1983" t="s">
        <v>1210</v>
      </c>
      <c r="C1983" t="s">
        <v>1226</v>
      </c>
      <c r="D1983" s="2">
        <v>726660</v>
      </c>
      <c r="E1983" t="s">
        <v>13</v>
      </c>
      <c r="F1983">
        <v>44.769399999999997</v>
      </c>
      <c r="G1983">
        <v>-106.9689</v>
      </c>
      <c r="H1983">
        <v>-7</v>
      </c>
      <c r="I1983">
        <v>1202.4000000000001</v>
      </c>
      <c r="J1983" t="str">
        <f>HYPERLINK("https://climate.onebuilding.org/WMO_Region_4_North_and_Central_America/USA_United_States_of_America/WY_Wyoming/USA_WY_Sheridan.County.AP.726660_US.Normals.2006-2020.zip")</f>
        <v>https://climate.onebuilding.org/WMO_Region_4_North_and_Central_America/USA_United_States_of_America/WY_Wyoming/USA_WY_Sheridan.County.AP.726660_US.Normals.2006-2020.zip</v>
      </c>
    </row>
    <row r="1984" spans="1:10" x14ac:dyDescent="0.25">
      <c r="A1984" t="s">
        <v>35</v>
      </c>
      <c r="B1984" t="s">
        <v>1210</v>
      </c>
      <c r="C1984" t="s">
        <v>1227</v>
      </c>
      <c r="D1984" s="2">
        <v>755750</v>
      </c>
      <c r="E1984" t="s">
        <v>13</v>
      </c>
      <c r="F1984">
        <v>44.5169</v>
      </c>
      <c r="G1984">
        <v>-104.43640000000001</v>
      </c>
      <c r="H1984">
        <v>-7</v>
      </c>
      <c r="I1984">
        <v>1765.4</v>
      </c>
      <c r="J1984" t="str">
        <f>HYPERLINK("https://climate.onebuilding.org/WMO_Region_4_North_and_Central_America/USA_United_States_of_America/WY_Wyoming/USA_WY_Sundance.8.NNW.755750_US.Normals.2006-2020.zip")</f>
        <v>https://climate.onebuilding.org/WMO_Region_4_North_and_Central_America/USA_United_States_of_America/WY_Wyoming/USA_WY_Sundance.8.NNW.755750_US.Normals.2006-2020.zip</v>
      </c>
    </row>
    <row r="1985" spans="1:10" x14ac:dyDescent="0.25">
      <c r="A1985" t="s">
        <v>35</v>
      </c>
      <c r="B1985" t="s">
        <v>1210</v>
      </c>
      <c r="C1985" t="s">
        <v>1228</v>
      </c>
      <c r="D1985" s="2">
        <v>725763</v>
      </c>
      <c r="E1985" t="s">
        <v>13</v>
      </c>
      <c r="F1985">
        <v>42.064700000000002</v>
      </c>
      <c r="G1985">
        <v>-104.1528</v>
      </c>
      <c r="H1985">
        <v>-7</v>
      </c>
      <c r="I1985">
        <v>1281.7</v>
      </c>
      <c r="J1985" t="str">
        <f>HYPERLINK("https://climate.onebuilding.org/WMO_Region_4_North_and_Central_America/USA_United_States_of_America/WY_Wyoming/USA_WY_Torrington.Muni.AP.725763_US.Normals.2006-2020.zip")</f>
        <v>https://climate.onebuilding.org/WMO_Region_4_North_and_Central_America/USA_United_States_of_America/WY_Wyoming/USA_WY_Torrington.Muni.AP.725763_US.Normals.2006-2020.zip</v>
      </c>
    </row>
    <row r="1986" spans="1:10" x14ac:dyDescent="0.25">
      <c r="A1986" t="s">
        <v>35</v>
      </c>
      <c r="B1986" t="s">
        <v>1210</v>
      </c>
      <c r="C1986" t="s">
        <v>1229</v>
      </c>
      <c r="D1986" s="2">
        <v>726665</v>
      </c>
      <c r="E1986" t="s">
        <v>13</v>
      </c>
      <c r="F1986">
        <v>43.965800000000002</v>
      </c>
      <c r="G1986">
        <v>-107.9508</v>
      </c>
      <c r="H1986">
        <v>-7</v>
      </c>
      <c r="I1986">
        <v>1271.5999999999999</v>
      </c>
      <c r="J1986" t="str">
        <f>HYPERLINK("https://climate.onebuilding.org/WMO_Region_4_North_and_Central_America/USA_United_States_of_America/WY_Wyoming/USA_WY_Worland.Muni.AP.726665_US.Normals.2006-2020.zip")</f>
        <v>https://climate.onebuilding.org/WMO_Region_4_North_and_Central_America/USA_United_States_of_America/WY_Wyoming/USA_WY_Worland.Muni.AP.726665_US.Normals.2006-2020.zip</v>
      </c>
    </row>
    <row r="1987" spans="1:10" x14ac:dyDescent="0.25">
      <c r="A1987" t="s">
        <v>35</v>
      </c>
      <c r="B1987" t="s">
        <v>1210</v>
      </c>
      <c r="C1987" t="s">
        <v>1230</v>
      </c>
      <c r="D1987" s="2">
        <v>726664</v>
      </c>
      <c r="E1987" t="s">
        <v>13</v>
      </c>
      <c r="F1987">
        <v>44.544400000000003</v>
      </c>
      <c r="G1987">
        <v>-110.4211</v>
      </c>
      <c r="H1987">
        <v>-7</v>
      </c>
      <c r="I1987">
        <v>2388.1</v>
      </c>
      <c r="J1987" t="str">
        <f>HYPERLINK("https://climate.onebuilding.org/WMO_Region_4_North_and_Central_America/USA_United_States_of_America/WY_Wyoming/USA_WY_Yellowstone.Natl.Park.726664_US.Normals.2006-2020.zip")</f>
        <v>https://climate.onebuilding.org/WMO_Region_4_North_and_Central_America/USA_United_States_of_America/WY_Wyoming/USA_WY_Yellowstone.Natl.Park.726664_US.Normals.2006-2020.zip</v>
      </c>
    </row>
    <row r="1988" spans="1:10" x14ac:dyDescent="0.25">
      <c r="A1988" t="s">
        <v>1231</v>
      </c>
      <c r="B1988" t="s">
        <v>970</v>
      </c>
      <c r="C1988" t="s">
        <v>1232</v>
      </c>
      <c r="D1988" s="2">
        <v>785510</v>
      </c>
      <c r="E1988" t="s">
        <v>13</v>
      </c>
      <c r="F1988">
        <v>17.7028</v>
      </c>
      <c r="G1988">
        <v>-64.805599999999998</v>
      </c>
      <c r="H1988">
        <v>-4</v>
      </c>
      <c r="I1988">
        <v>18.600000000000001</v>
      </c>
      <c r="J1988" t="str">
        <f>HYPERLINK("https://climate.onebuilding.org/WMO_Region_4_North_and_Central_America/VIR_U_S_Virgin_Islands/VIR_SC_St.Croix-Christiansted-Rohlsen.AP.785510_US.Normals.2006-2020.zip")</f>
        <v>https://climate.onebuilding.org/WMO_Region_4_North_and_Central_America/VIR_U_S_Virgin_Islands/VIR_SC_St.Croix-Christiansted-Rohlsen.AP.785510_US.Normals.2006-2020.zip</v>
      </c>
    </row>
    <row r="1989" spans="1:10" x14ac:dyDescent="0.25">
      <c r="A1989" t="s">
        <v>1231</v>
      </c>
      <c r="B1989" t="s">
        <v>1233</v>
      </c>
      <c r="C1989" t="s">
        <v>1234</v>
      </c>
      <c r="D1989" s="2">
        <v>785430</v>
      </c>
      <c r="E1989" t="s">
        <v>13</v>
      </c>
      <c r="F1989">
        <v>18.333100000000002</v>
      </c>
      <c r="G1989">
        <v>-64.966700000000003</v>
      </c>
      <c r="H1989">
        <v>-4</v>
      </c>
      <c r="I1989">
        <v>6.1</v>
      </c>
      <c r="J1989" t="str">
        <f>HYPERLINK("https://climate.onebuilding.org/WMO_Region_4_North_and_Central_America/VIR_U_S_Virgin_Islands/VIR_ST_St.Thomas-Charlotte.Amalie-King.Intl.AP.785430_US.Normals.2006-2020.zip")</f>
        <v>https://climate.onebuilding.org/WMO_Region_4_North_and_Central_America/VIR_U_S_Virgin_Islands/VIR_ST_St.Thomas-Charlotte.Amalie-King.Intl.AP.785430_US.Normals.2006-2020.zip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Normals_EPW_Processing_location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2024-08-22T13:42:18Z</dcterms:created>
  <dcterms:modified xsi:type="dcterms:W3CDTF">2024-08-22T13:42:18Z</dcterms:modified>
</cp:coreProperties>
</file>